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feher_nikolett_semmelweis_hu/Documents/Asztal/Hírek/"/>
    </mc:Choice>
  </mc:AlternateContent>
  <xr:revisionPtr revIDLastSave="0" documentId="8_{40C4D535-036C-4506-A675-E3F0A5B0C24C}" xr6:coauthVersionLast="47" xr6:coauthVersionMax="47" xr10:uidLastSave="{00000000-0000-0000-0000-000000000000}"/>
  <bookViews>
    <workbookView xWindow="-26880" yWindow="1920" windowWidth="21075" windowHeight="13305" xr2:uid="{00000000-000D-0000-FFFF-FFFF00000000}"/>
  </bookViews>
  <sheets>
    <sheet name="2025_08 hó" sheetId="3" r:id="rId1"/>
    <sheet name="2025_06 hó" sheetId="1" state="hidden" r:id="rId2"/>
    <sheet name="havi adatok" sheetId="2" r:id="rId3"/>
  </sheets>
  <externalReferences>
    <externalReference r:id="rId4"/>
  </externalReferences>
  <definedNames>
    <definedName name="_xlnm.Print_Area" localSheetId="1">'2025_06 hó'!$A$2:$AB$32</definedName>
    <definedName name="_xlnm.Print_Area" localSheetId="0">'2025_08 hó'!$A$2:$AB$32</definedName>
    <definedName name="_xlnm.Print_Area" localSheetId="2">'havi adatok'!$A$1:$O$41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2" l="1"/>
  <c r="R19" i="2" s="1"/>
  <c r="R37" i="2" s="1"/>
  <c r="S28" i="2"/>
  <c r="AC13" i="3" l="1"/>
  <c r="AC7" i="3"/>
  <c r="J37" i="2"/>
  <c r="P13" i="3" s="1"/>
  <c r="P7" i="3" l="1"/>
  <c r="O18" i="2"/>
  <c r="I37" i="2" l="1"/>
  <c r="O17" i="3" l="1"/>
  <c r="A1" i="3"/>
  <c r="A1" i="1" l="1"/>
  <c r="D37" i="2"/>
  <c r="E37" i="2"/>
  <c r="F37" i="2"/>
  <c r="G37" i="2"/>
  <c r="H37" i="2"/>
  <c r="K37" i="2"/>
  <c r="L37" i="2"/>
  <c r="M37" i="2"/>
  <c r="N37" i="2"/>
  <c r="C37" i="2"/>
  <c r="I38" i="2"/>
  <c r="J38" i="2"/>
  <c r="K38" i="2"/>
  <c r="L38" i="2"/>
  <c r="M38" i="2"/>
  <c r="N38" i="2"/>
  <c r="I39" i="2"/>
  <c r="J39" i="2"/>
  <c r="K7" i="3" s="1"/>
  <c r="K39" i="2"/>
  <c r="L39" i="2"/>
  <c r="M39" i="2"/>
  <c r="N39" i="2"/>
  <c r="I40" i="2"/>
  <c r="J40" i="2"/>
  <c r="N7" i="3" s="1"/>
  <c r="K40" i="2"/>
  <c r="L40" i="2"/>
  <c r="M40" i="2"/>
  <c r="N40" i="2"/>
  <c r="J36" i="2"/>
  <c r="K36" i="2"/>
  <c r="L36" i="2"/>
  <c r="M36" i="2"/>
  <c r="N36" i="2"/>
  <c r="I36" i="2"/>
  <c r="O31" i="2"/>
  <c r="P31" i="2" s="1"/>
  <c r="O30" i="2"/>
  <c r="P30" i="2" s="1"/>
  <c r="O29" i="2"/>
  <c r="P29" i="2" s="1"/>
  <c r="O28" i="2"/>
  <c r="P28" i="2" s="1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U13" i="3" l="1"/>
  <c r="U7" i="3"/>
  <c r="G18" i="3"/>
  <c r="H18" i="3" s="1"/>
  <c r="G7" i="3"/>
  <c r="G19" i="3"/>
  <c r="G20" i="3"/>
  <c r="H20" i="3" s="1"/>
  <c r="G9" i="3"/>
  <c r="G21" i="3"/>
  <c r="H21" i="3" s="1"/>
  <c r="G10" i="3"/>
  <c r="G22" i="3"/>
  <c r="H22" i="3" s="1"/>
  <c r="G11" i="3"/>
  <c r="H11" i="3" s="1"/>
  <c r="G23" i="3"/>
  <c r="G12" i="3"/>
  <c r="G24" i="3"/>
  <c r="G13" i="3"/>
  <c r="G25" i="3"/>
  <c r="G14" i="3"/>
  <c r="G26" i="3"/>
  <c r="G15" i="3"/>
  <c r="G27" i="3"/>
  <c r="H27" i="3" s="1"/>
  <c r="G16" i="3"/>
  <c r="H16" i="3" s="1"/>
  <c r="G17" i="3"/>
  <c r="G8" i="3"/>
  <c r="H8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15" i="3"/>
  <c r="H19" i="3"/>
  <c r="H23" i="3"/>
  <c r="H14" i="3"/>
  <c r="H26" i="3"/>
  <c r="H12" i="3"/>
  <c r="H24" i="3"/>
  <c r="H7" i="3"/>
  <c r="H9" i="3"/>
  <c r="H13" i="3"/>
  <c r="H17" i="3"/>
  <c r="H25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<sst xmlns="http://schemas.openxmlformats.org/spreadsheetml/2006/main" count="153" uniqueCount="67">
  <si>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</si>
  <si>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</si>
  <si>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</si>
  <si>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</si>
  <si>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</si>
  <si>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</si>
  <si>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</si>
  <si>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</si>
  <si>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</si>
  <si>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</si>
  <si>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</si>
  <si>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</si>
  <si>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</si>
  <si>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</si>
  <si>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</si>
  <si>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</si>
  <si>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</si>
  <si>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</si>
  <si>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</si>
  <si>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</si>
  <si>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</si>
  <si>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</si>
  <si>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</si>
  <si>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</si>
  <si>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</si>
  <si>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</si>
  <si>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</si>
  <si>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</si>
  <si>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</si>
  <si>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</si>
  <si>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</si>
  <si>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</si>
  <si>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</si>
  <si>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</si>
  <si>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</si>
  <si>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</si>
  <si>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</si>
  <si>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</si>
  <si>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</si>
  <si>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</si>
  <si>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</si>
  <si>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</si>
  <si>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</si>
  <si>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</si>
  <si>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</si>
  <si>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</si>
  <si>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</si>
  <si>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</si>
  <si>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</si>
  <si>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</si>
  <si>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</si>
  <si>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</si>
  <si>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</si>
  <si>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</si>
  <si>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</si>
  <si>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</si>
  <si>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</si>
  <si>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</si>
  <si>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</si>
  <si>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</si>
  <si>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</si>
  <si>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</si>
  <si>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</si>
  <si>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2025.10.01 után már az új árral kell kalkulálni, de számlában ténylegesen csak december végén fog megjelenni.</t>
  </si>
  <si>
    <t>Gáz esetében  2025.10.01 után már az új szerződéses árral árral kell kalkulálni, de számlában ténylegesen csak december végén fog megjelenni.</t>
  </si>
  <si>
    <r>
      <t xml:space="preserve">A 2025.08. havi fogyasztás mellett az új szerződéses árral az alábbi módon alakulna a havi </t>
    </r>
    <r>
      <rPr>
        <b/>
        <u/>
        <sz val="10"/>
        <color rgb="FFFFC000"/>
        <rFont val="Times New Roman"/>
        <family val="1"/>
        <charset val="238"/>
      </rPr>
      <t>fajlagos egységár</t>
    </r>
  </si>
  <si>
    <t>2025.09.29-ig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</si>
</sst>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&quot; Ft/GJ&quot;"/>
    <numFmt numFmtId="166" formatCode="#,##0&quot; m3/fő&quot;"/>
    <numFmt numFmtId="167" formatCode="#,##0&quot; Ft/fő&quot;"/>
    <numFmt numFmtId="168" formatCode="#,##0&quot; Ft/m2&quot;"/>
    <numFmt numFmtId="169" formatCode="#,##0.00&quot; kWh/m2&quot;"/>
    <numFmt numFmtId="170" formatCode="#,##0&quot; kWh&quot;"/>
    <numFmt numFmtId="171" formatCode="#,##0\ &quot;Ft&quot;"/>
    <numFmt numFmtId="172" formatCode="#,##0.00\ &quot;Ft&quot;"/>
    <numFmt numFmtId="173" formatCode="_-* #,##0\ &quot;Ft&quot;_-;\-* #,##0\ &quot;Ft&quot;_-;_-* &quot;-&quot;??\ &quot;Ft&quot;_-;_-@_-"/>
    <numFmt numFmtId="174" formatCode="#,##0.00&quot; m3&quot;"/>
    <numFmt numFmtId="175" formatCode="#,##0.0&quot; Ft/kWh&quot;"/>
    <numFmt numFmtId="176" formatCode="#,##0.00&quot; Ft/m3&quot;"/>
    <numFmt numFmtId="177" formatCode="0.00&quot; m3&quot;"/>
    <numFmt numFmtId="178" formatCode="#,##0.00&quot; kWh/gép&quot;"/>
    <numFmt numFmtId="179" formatCode="#,##0&quot; Ft/gép&quot;"/>
    <numFmt numFmtId="180" formatCode="#,##0.0&quot; m3/fő&quot;"/>
    <numFmt numFmtId="181" formatCode="#,##0.0&quot; Ft/fő&quot;"/>
    <numFmt numFmtId="182" formatCode="#,##0&quot; m3&quot;"/>
    <numFmt numFmtId="183" formatCode="#,##0&quot; GJ&quot;"/>
    <numFmt numFmtId="184" formatCode="0.00&quot; Ft/kWh&quot;"/>
    <numFmt numFmtId="185" formatCode="#,##0.00&quot; Ft/GJ&quot;"/>
    <numFmt numFmtId="186" formatCode="0.00&quot; Ft/m3&quot;"/>
    <numFmt numFmtId="187" formatCode="#,##0&quot; MJ&quot;"/>
    <numFmt numFmtId="188" formatCode="#,##0&quot; Ft/m3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0"/>
      <color rgb="FFFFC000"/>
      <name val="Times New Roman"/>
      <family val="1"/>
      <charset val="238"/>
    </font>
    <font>
      <b/>
      <u/>
      <sz val="10"/>
      <color rgb="FFFFC000"/>
      <name val="Times New Roman"/>
      <family val="1"/>
      <charset val="238"/>
    </font>
    <font>
      <b/>
      <sz val="10"/>
      <color rgb="FFFFC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3" fontId="4" fillId="0" borderId="9" xfId="2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8" fontId="4" fillId="0" borderId="9" xfId="0" applyNumberFormat="1" applyFont="1" applyBorder="1" applyAlignment="1">
      <alignment vertical="center"/>
    </xf>
    <xf numFmtId="167" fontId="4" fillId="0" borderId="9" xfId="2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167" fontId="4" fillId="0" borderId="10" xfId="2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80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1" fontId="7" fillId="0" borderId="0" xfId="0" applyNumberFormat="1" applyFont="1"/>
    <xf numFmtId="44" fontId="7" fillId="0" borderId="0" xfId="0" applyNumberFormat="1" applyFont="1"/>
    <xf numFmtId="164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3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2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3" fontId="7" fillId="0" borderId="0" xfId="0" applyNumberFormat="1" applyFont="1"/>
    <xf numFmtId="182" fontId="7" fillId="0" borderId="30" xfId="1" applyNumberFormat="1" applyFont="1" applyBorder="1"/>
    <xf numFmtId="170" fontId="7" fillId="0" borderId="30" xfId="1" applyNumberFormat="1" applyFont="1" applyBorder="1"/>
    <xf numFmtId="183" fontId="7" fillId="0" borderId="30" xfId="1" applyNumberFormat="1" applyFont="1" applyBorder="1"/>
    <xf numFmtId="176" fontId="4" fillId="4" borderId="32" xfId="2" applyNumberFormat="1" applyFont="1" applyFill="1" applyBorder="1" applyAlignment="1">
      <alignment vertical="center"/>
    </xf>
    <xf numFmtId="175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1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86" fontId="7" fillId="6" borderId="0" xfId="2" applyNumberFormat="1" applyFont="1" applyFill="1" applyAlignment="1">
      <alignment vertical="center"/>
    </xf>
    <xf numFmtId="170" fontId="7" fillId="6" borderId="0" xfId="0" applyNumberFormat="1" applyFont="1" applyFill="1" applyAlignment="1">
      <alignment vertical="center"/>
    </xf>
    <xf numFmtId="187" fontId="7" fillId="6" borderId="0" xfId="0" applyNumberFormat="1" applyFont="1" applyFill="1" applyAlignment="1">
      <alignment vertical="center"/>
    </xf>
    <xf numFmtId="183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9" fontId="7" fillId="0" borderId="0" xfId="3" applyFont="1"/>
    <xf numFmtId="0" fontId="14" fillId="2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88" fontId="4" fillId="4" borderId="19" xfId="0" applyNumberFormat="1" applyFont="1" applyFill="1" applyBorder="1" applyAlignment="1">
      <alignment horizontal="center" vertical="center" wrapText="1"/>
    </xf>
    <xf numFmtId="188" fontId="4" fillId="4" borderId="7" xfId="0" applyNumberFormat="1" applyFont="1" applyFill="1" applyBorder="1" applyAlignment="1">
      <alignment horizontal="center" vertical="center" wrapText="1"/>
    </xf>
    <xf numFmtId="188" fontId="4" fillId="4" borderId="23" xfId="0" applyNumberFormat="1" applyFont="1" applyFill="1" applyBorder="1" applyAlignment="1">
      <alignment horizontal="center" vertical="center" wrapText="1"/>
    </xf>
    <xf numFmtId="188" fontId="4" fillId="4" borderId="17" xfId="0" applyNumberFormat="1" applyFont="1" applyFill="1" applyBorder="1" applyAlignment="1">
      <alignment horizontal="center" vertical="center" wrapText="1"/>
    </xf>
    <xf numFmtId="188" fontId="4" fillId="4" borderId="0" xfId="0" applyNumberFormat="1" applyFont="1" applyFill="1" applyAlignment="1">
      <alignment horizontal="center" vertical="center" wrapText="1"/>
    </xf>
    <xf numFmtId="188" fontId="4" fillId="4" borderId="14" xfId="0" applyNumberFormat="1" applyFont="1" applyFill="1" applyBorder="1" applyAlignment="1">
      <alignment horizontal="center" vertical="center" wrapText="1"/>
    </xf>
    <xf numFmtId="188" fontId="4" fillId="4" borderId="24" xfId="0" applyNumberFormat="1" applyFont="1" applyFill="1" applyBorder="1" applyAlignment="1">
      <alignment horizontal="center" vertical="center" wrapText="1"/>
    </xf>
    <xf numFmtId="188" fontId="4" fillId="4" borderId="12" xfId="0" applyNumberFormat="1" applyFont="1" applyFill="1" applyBorder="1" applyAlignment="1">
      <alignment horizontal="center" vertical="center" wrapText="1"/>
    </xf>
    <xf numFmtId="188" fontId="4" fillId="4" borderId="13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5" fontId="4" fillId="4" borderId="19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23" xfId="0" applyNumberFormat="1" applyFont="1" applyFill="1" applyBorder="1" applyAlignment="1">
      <alignment horizontal="center" vertical="center" wrapText="1"/>
    </xf>
    <xf numFmtId="165" fontId="4" fillId="4" borderId="17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14" xfId="0" applyNumberFormat="1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80" fontId="4" fillId="0" borderId="20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70" fontId="4" fillId="0" borderId="20" xfId="0" applyNumberFormat="1" applyFont="1" applyBorder="1" applyAlignment="1">
      <alignment vertical="center"/>
    </xf>
    <xf numFmtId="170" fontId="4" fillId="0" borderId="9" xfId="0" applyNumberFormat="1" applyFont="1" applyBorder="1" applyAlignment="1">
      <alignment vertical="center"/>
    </xf>
    <xf numFmtId="174" fontId="4" fillId="0" borderId="20" xfId="0" applyNumberFormat="1" applyFont="1" applyBorder="1" applyAlignment="1">
      <alignment vertical="center"/>
    </xf>
    <xf numFmtId="174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80" fontId="4" fillId="0" borderId="19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24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right" vertical="center"/>
    </xf>
    <xf numFmtId="176" fontId="4" fillId="4" borderId="3" xfId="0" applyNumberFormat="1" applyFont="1" applyFill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81" fontId="4" fillId="0" borderId="11" xfId="2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76" fontId="4" fillId="4" borderId="1" xfId="2" applyNumberFormat="1" applyFont="1" applyFill="1" applyBorder="1" applyAlignment="1">
      <alignment horizontal="right" vertical="center"/>
    </xf>
    <xf numFmtId="176" fontId="4" fillId="4" borderId="3" xfId="2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</cellXfs>
  <cellStyles count="11">
    <cellStyle name="Ezres" xfId="1" builtinId="3"/>
    <cellStyle name="Ezres 2" xfId="7" xr:uid="{00000000-0005-0000-0000-000001000000}"/>
    <cellStyle name="Ezres 3" xfId="5" xr:uid="{00000000-0005-0000-0000-000002000000}"/>
    <cellStyle name="Ezres 4" xfId="4" xr:uid="{00000000-0005-0000-0000-000003000000}"/>
    <cellStyle name="Normál" xfId="0" builtinId="0"/>
    <cellStyle name="Normál 2 2 2 2 2 3" xfId="9" xr:uid="{00000000-0005-0000-0000-000005000000}"/>
    <cellStyle name="Pénznem" xfId="2" builtinId="4"/>
    <cellStyle name="Pénznem 2" xfId="6" xr:uid="{00000000-0005-0000-0000-000007000000}"/>
    <cellStyle name="Pénznem 3" xfId="8" xr:uid="{00000000-0005-0000-0000-000008000000}"/>
    <cellStyle name="Százalék" xfId="3" builtinId="5"/>
    <cellStyle name="Százalék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a\Documents\SOTE\2026%20terv\SE%20G&#193;Z%20POD%202026%20terv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áz-POD-ktg terv"/>
      <sheetName val="BESZ. számoló tábla"/>
      <sheetName val="Gáz Molekula díjak"/>
      <sheetName val="Munka1"/>
      <sheetName val="ÉVES terv"/>
      <sheetName val="BESZ. szá tábla 2025"/>
      <sheetName val="Létesítmény terv"/>
      <sheetName val="tervképzés MJ"/>
      <sheetName val="2026 számoló tábla"/>
      <sheetName val="Munka2"/>
      <sheetName val="Munk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2"/>
  <sheetViews>
    <sheetView tabSelected="1" view="pageBreakPreview" zoomScaleNormal="100" zoomScaleSheetLayoutView="100" workbookViewId="0">
      <selection sqref="A1:AB1"/>
    </sheetView>
  </sheetViews>
  <sheetFormatPr defaultColWidth="9.109375" defaultRowHeight="13.8" x14ac:dyDescent="0.25"/>
  <cols>
    <col min="1" max="1" width="12.44140625" style="1" customWidth="1"/>
    <col min="2" max="2" width="12.5546875" style="1" customWidth="1"/>
    <col min="3" max="6" width="9.109375" style="1"/>
    <col min="7" max="8" width="11.5546875" style="1" bestFit="1" customWidth="1"/>
    <col min="9" max="10" width="9.109375" style="1"/>
    <col min="11" max="11" width="11.44140625" style="1" bestFit="1" customWidth="1"/>
    <col min="12" max="12" width="10.88671875" style="1" bestFit="1" customWidth="1"/>
    <col min="13" max="13" width="10.109375" style="1" customWidth="1"/>
    <col min="14" max="15" width="12.33203125" style="1" customWidth="1"/>
    <col min="16" max="17" width="2.88671875" style="1" customWidth="1"/>
    <col min="18" max="18" width="4" style="1" customWidth="1"/>
    <col min="19" max="19" width="4.109375" style="1" customWidth="1"/>
    <col min="20" max="21" width="3.33203125" style="1" customWidth="1"/>
    <col min="22" max="22" width="4" style="1" customWidth="1"/>
    <col min="23" max="23" width="2.5546875" style="1" customWidth="1"/>
    <col min="24" max="24" width="6.6640625" style="1" customWidth="1"/>
    <col min="25" max="25" width="3.33203125" style="1" customWidth="1"/>
    <col min="26" max="28" width="4.33203125" style="1" customWidth="1"/>
    <col min="29" max="16384" width="9.109375" style="1"/>
  </cols>
  <sheetData>
    <row r="1" spans="1:33" ht="18.600000000000001" thickBot="1" x14ac:dyDescent="0.4">
      <c r="A1" s="132" t="str">
        <f>'havi adatok'!$A$15</f>
        <v>2025.09.29-ig igazolt számlák alapján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</row>
    <row r="2" spans="1:33" ht="15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55" t="s">
        <v>64</v>
      </c>
      <c r="AD2" s="55"/>
      <c r="AE2" s="55"/>
      <c r="AF2" s="55"/>
      <c r="AG2" s="55"/>
    </row>
    <row r="3" spans="1:33" ht="24.75" customHeight="1" thickBot="1" x14ac:dyDescent="0.3">
      <c r="A3" s="134" t="s">
        <v>52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56"/>
      <c r="AD3" s="56"/>
      <c r="AE3" s="56"/>
      <c r="AF3" s="56"/>
      <c r="AG3" s="56"/>
    </row>
    <row r="4" spans="1:33" ht="48.75" customHeight="1" thickBot="1" x14ac:dyDescent="0.3">
      <c r="A4" s="135" t="s">
        <v>1</v>
      </c>
      <c r="B4" s="135" t="s">
        <v>2</v>
      </c>
      <c r="C4" s="139" t="s">
        <v>3</v>
      </c>
      <c r="D4" s="140"/>
      <c r="E4" s="59" t="s">
        <v>4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59" t="s">
        <v>5</v>
      </c>
      <c r="AA4" s="60"/>
      <c r="AB4" s="61"/>
      <c r="AC4" s="57" t="s">
        <v>65</v>
      </c>
      <c r="AD4" s="58"/>
      <c r="AE4" s="58"/>
      <c r="AF4" s="58"/>
      <c r="AG4" s="58"/>
    </row>
    <row r="5" spans="1:33" ht="14.4" thickBot="1" x14ac:dyDescent="0.3">
      <c r="A5" s="136"/>
      <c r="B5" s="136"/>
      <c r="C5" s="141"/>
      <c r="D5" s="142"/>
      <c r="E5" s="59" t="s">
        <v>6</v>
      </c>
      <c r="F5" s="60"/>
      <c r="G5" s="60"/>
      <c r="H5" s="61"/>
      <c r="I5" s="59" t="s">
        <v>7</v>
      </c>
      <c r="J5" s="60"/>
      <c r="K5" s="60"/>
      <c r="L5" s="61"/>
      <c r="M5" s="60" t="s">
        <v>8</v>
      </c>
      <c r="N5" s="60"/>
      <c r="O5" s="61"/>
      <c r="P5" s="59" t="s">
        <v>57</v>
      </c>
      <c r="Q5" s="60"/>
      <c r="R5" s="60"/>
      <c r="S5" s="60"/>
      <c r="T5" s="61"/>
      <c r="U5" s="59" t="s">
        <v>58</v>
      </c>
      <c r="V5" s="60"/>
      <c r="W5" s="60"/>
      <c r="X5" s="60"/>
      <c r="Y5" s="61"/>
      <c r="Z5" s="145" t="s">
        <v>9</v>
      </c>
      <c r="AA5" s="145"/>
      <c r="AB5" s="146"/>
      <c r="AC5" s="59" t="s">
        <v>57</v>
      </c>
      <c r="AD5" s="60"/>
      <c r="AE5" s="60"/>
      <c r="AF5" s="60"/>
      <c r="AG5" s="61"/>
    </row>
    <row r="6" spans="1:33" ht="38.25" customHeight="1" thickBot="1" x14ac:dyDescent="0.3">
      <c r="A6" s="137"/>
      <c r="B6" s="138"/>
      <c r="C6" s="143"/>
      <c r="D6" s="144"/>
      <c r="E6" s="59" t="s">
        <v>10</v>
      </c>
      <c r="F6" s="61"/>
      <c r="G6" s="2" t="s">
        <v>44</v>
      </c>
      <c r="H6" s="2" t="s">
        <v>11</v>
      </c>
      <c r="I6" s="59" t="s">
        <v>10</v>
      </c>
      <c r="J6" s="61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62" t="s">
        <v>10</v>
      </c>
      <c r="Q6" s="63"/>
      <c r="R6" s="64"/>
      <c r="S6" s="62" t="s">
        <v>11</v>
      </c>
      <c r="T6" s="64"/>
      <c r="U6" s="62" t="s">
        <v>10</v>
      </c>
      <c r="V6" s="63"/>
      <c r="W6" s="64"/>
      <c r="X6" s="62" t="s">
        <v>11</v>
      </c>
      <c r="Y6" s="64"/>
      <c r="Z6" s="147"/>
      <c r="AA6" s="147"/>
      <c r="AB6" s="148"/>
      <c r="AC6" s="62" t="s">
        <v>10</v>
      </c>
      <c r="AD6" s="63"/>
      <c r="AE6" s="64"/>
      <c r="AF6" s="62" t="s">
        <v>11</v>
      </c>
      <c r="AG6" s="64"/>
    </row>
    <row r="7" spans="1:33" ht="14.4" thickBot="1" x14ac:dyDescent="0.3">
      <c r="A7" s="130" t="s">
        <v>12</v>
      </c>
      <c r="B7" s="5"/>
      <c r="C7" s="151">
        <v>15</v>
      </c>
      <c r="D7" s="152"/>
      <c r="E7" s="108">
        <v>100</v>
      </c>
      <c r="F7" s="109"/>
      <c r="G7" s="36">
        <f>'havi adatok'!$J$36</f>
        <v>108.78383860474342</v>
      </c>
      <c r="H7" s="6">
        <f>G7*E7</f>
        <v>10878.383860474341</v>
      </c>
      <c r="I7" s="110">
        <v>1</v>
      </c>
      <c r="J7" s="111"/>
      <c r="K7" s="35">
        <f>'havi adatok'!$J$39</f>
        <v>823.33292019208784</v>
      </c>
      <c r="L7" s="6">
        <f>I7*K7</f>
        <v>823.33292019208784</v>
      </c>
      <c r="M7" s="7">
        <v>1</v>
      </c>
      <c r="N7" s="35">
        <f>'havi adatok'!$J$40</f>
        <v>1295.7142857142858</v>
      </c>
      <c r="O7" s="6">
        <f>N7*M7</f>
        <v>1295.7142857142858</v>
      </c>
      <c r="P7" s="65">
        <f>'havi adatok'!$J$37/34.8</f>
        <v>361.22284878133115</v>
      </c>
      <c r="Q7" s="66"/>
      <c r="R7" s="66"/>
      <c r="S7" s="66"/>
      <c r="T7" s="67"/>
      <c r="U7" s="92">
        <f>'havi adatok'!$J$38</f>
        <v>32183.078923971672</v>
      </c>
      <c r="V7" s="93"/>
      <c r="W7" s="93"/>
      <c r="X7" s="93"/>
      <c r="Y7" s="94"/>
      <c r="Z7" s="147"/>
      <c r="AA7" s="147"/>
      <c r="AB7" s="148"/>
      <c r="AC7" s="65">
        <f>'havi adatok'!$R$37/34</f>
        <v>287.09989572610698</v>
      </c>
      <c r="AD7" s="66"/>
      <c r="AE7" s="66"/>
      <c r="AF7" s="66"/>
      <c r="AG7" s="67"/>
    </row>
    <row r="8" spans="1:33" ht="14.4" thickBot="1" x14ac:dyDescent="0.3">
      <c r="A8" s="131"/>
      <c r="B8" s="5"/>
      <c r="C8" s="128">
        <v>25</v>
      </c>
      <c r="D8" s="129"/>
      <c r="E8" s="108">
        <v>160</v>
      </c>
      <c r="F8" s="109"/>
      <c r="G8" s="36">
        <f>'havi adatok'!$J$36</f>
        <v>108.78383860474342</v>
      </c>
      <c r="H8" s="6">
        <f t="shared" ref="H8:H12" si="0">G8*E8</f>
        <v>17405.414176758946</v>
      </c>
      <c r="I8" s="110">
        <v>1.5</v>
      </c>
      <c r="J8" s="111"/>
      <c r="K8" s="35">
        <f t="shared" ref="K8:K15" si="1">$K$7</f>
        <v>823.33292019208784</v>
      </c>
      <c r="L8" s="6">
        <f t="shared" ref="L8:L27" si="2">I8*K8</f>
        <v>1234.9993802881318</v>
      </c>
      <c r="M8" s="7">
        <v>1.5</v>
      </c>
      <c r="N8" s="35">
        <f t="shared" ref="N8:N15" si="3">$N$7</f>
        <v>1295.7142857142858</v>
      </c>
      <c r="O8" s="6">
        <f t="shared" ref="O8:O12" si="4">N8*M8</f>
        <v>1943.5714285714287</v>
      </c>
      <c r="P8" s="68"/>
      <c r="Q8" s="69"/>
      <c r="R8" s="69"/>
      <c r="S8" s="69"/>
      <c r="T8" s="70"/>
      <c r="U8" s="95"/>
      <c r="V8" s="96"/>
      <c r="W8" s="96"/>
      <c r="X8" s="96"/>
      <c r="Y8" s="97"/>
      <c r="Z8" s="147"/>
      <c r="AA8" s="147"/>
      <c r="AB8" s="148"/>
      <c r="AC8" s="68"/>
      <c r="AD8" s="69"/>
      <c r="AE8" s="69"/>
      <c r="AF8" s="69"/>
      <c r="AG8" s="70"/>
    </row>
    <row r="9" spans="1:33" ht="14.4" thickBot="1" x14ac:dyDescent="0.3">
      <c r="A9" s="130" t="s">
        <v>13</v>
      </c>
      <c r="B9" s="5"/>
      <c r="C9" s="128">
        <v>15</v>
      </c>
      <c r="D9" s="129"/>
      <c r="E9" s="108">
        <v>240</v>
      </c>
      <c r="F9" s="109"/>
      <c r="G9" s="36">
        <f>'havi adatok'!$J$36</f>
        <v>108.78383860474342</v>
      </c>
      <c r="H9" s="6">
        <f t="shared" si="0"/>
        <v>26108.121265138423</v>
      </c>
      <c r="I9" s="110">
        <v>3</v>
      </c>
      <c r="J9" s="111"/>
      <c r="K9" s="35">
        <f t="shared" si="1"/>
        <v>823.33292019208784</v>
      </c>
      <c r="L9" s="6">
        <f t="shared" si="2"/>
        <v>2469.9987605762635</v>
      </c>
      <c r="M9" s="7">
        <v>3</v>
      </c>
      <c r="N9" s="35">
        <f t="shared" si="3"/>
        <v>1295.7142857142858</v>
      </c>
      <c r="O9" s="6">
        <f t="shared" si="4"/>
        <v>3887.1428571428573</v>
      </c>
      <c r="P9" s="68"/>
      <c r="Q9" s="69"/>
      <c r="R9" s="69"/>
      <c r="S9" s="69"/>
      <c r="T9" s="70"/>
      <c r="U9" s="95"/>
      <c r="V9" s="96"/>
      <c r="W9" s="96"/>
      <c r="X9" s="96"/>
      <c r="Y9" s="97"/>
      <c r="Z9" s="147"/>
      <c r="AA9" s="147"/>
      <c r="AB9" s="148"/>
      <c r="AC9" s="68"/>
      <c r="AD9" s="69"/>
      <c r="AE9" s="69"/>
      <c r="AF9" s="69"/>
      <c r="AG9" s="70"/>
    </row>
    <row r="10" spans="1:33" ht="14.4" thickBot="1" x14ac:dyDescent="0.3">
      <c r="A10" s="131"/>
      <c r="B10" s="5"/>
      <c r="C10" s="128">
        <v>25</v>
      </c>
      <c r="D10" s="129"/>
      <c r="E10" s="108">
        <v>300</v>
      </c>
      <c r="F10" s="109"/>
      <c r="G10" s="36">
        <f>'havi adatok'!$J$36</f>
        <v>108.78383860474342</v>
      </c>
      <c r="H10" s="6">
        <f t="shared" si="0"/>
        <v>32635.151581423026</v>
      </c>
      <c r="I10" s="110">
        <v>5</v>
      </c>
      <c r="J10" s="111"/>
      <c r="K10" s="35">
        <f t="shared" si="1"/>
        <v>823.33292019208784</v>
      </c>
      <c r="L10" s="6">
        <f t="shared" si="2"/>
        <v>4116.6646009604392</v>
      </c>
      <c r="M10" s="7">
        <v>5</v>
      </c>
      <c r="N10" s="35">
        <f t="shared" si="3"/>
        <v>1295.7142857142858</v>
      </c>
      <c r="O10" s="6">
        <f t="shared" si="4"/>
        <v>6478.5714285714294</v>
      </c>
      <c r="P10" s="71"/>
      <c r="Q10" s="72"/>
      <c r="R10" s="72"/>
      <c r="S10" s="72"/>
      <c r="T10" s="73"/>
      <c r="U10" s="98"/>
      <c r="V10" s="99"/>
      <c r="W10" s="99"/>
      <c r="X10" s="99"/>
      <c r="Y10" s="100"/>
      <c r="Z10" s="147"/>
      <c r="AA10" s="147"/>
      <c r="AB10" s="148"/>
      <c r="AC10" s="71"/>
      <c r="AD10" s="72"/>
      <c r="AE10" s="72"/>
      <c r="AF10" s="72"/>
      <c r="AG10" s="73"/>
    </row>
    <row r="11" spans="1:33" ht="14.4" thickBot="1" x14ac:dyDescent="0.3">
      <c r="A11" s="130" t="s">
        <v>14</v>
      </c>
      <c r="B11" s="5"/>
      <c r="C11" s="128">
        <v>15</v>
      </c>
      <c r="D11" s="129"/>
      <c r="E11" s="108">
        <v>10</v>
      </c>
      <c r="F11" s="109"/>
      <c r="G11" s="36">
        <f>'havi adatok'!$J$36</f>
        <v>108.78383860474342</v>
      </c>
      <c r="H11" s="6">
        <f t="shared" si="0"/>
        <v>1087.8383860474341</v>
      </c>
      <c r="I11" s="110">
        <v>0</v>
      </c>
      <c r="J11" s="111"/>
      <c r="K11" s="35">
        <f t="shared" si="1"/>
        <v>823.33292019208784</v>
      </c>
      <c r="L11" s="6">
        <f t="shared" si="2"/>
        <v>0</v>
      </c>
      <c r="M11" s="7">
        <v>0</v>
      </c>
      <c r="N11" s="35">
        <f t="shared" si="3"/>
        <v>1295.7142857142858</v>
      </c>
      <c r="O11" s="6">
        <f t="shared" si="4"/>
        <v>0</v>
      </c>
      <c r="P11" s="74"/>
      <c r="Q11" s="75"/>
      <c r="R11" s="74"/>
      <c r="S11" s="76"/>
      <c r="T11" s="75"/>
      <c r="U11" s="74"/>
      <c r="V11" s="75"/>
      <c r="W11" s="74"/>
      <c r="X11" s="76"/>
      <c r="Y11" s="75"/>
      <c r="Z11" s="147"/>
      <c r="AA11" s="147"/>
      <c r="AB11" s="148"/>
      <c r="AC11" s="74"/>
      <c r="AD11" s="75"/>
      <c r="AE11" s="74"/>
      <c r="AF11" s="76"/>
      <c r="AG11" s="75"/>
    </row>
    <row r="12" spans="1:33" ht="14.4" thickBot="1" x14ac:dyDescent="0.3">
      <c r="A12" s="131"/>
      <c r="B12" s="5"/>
      <c r="C12" s="128">
        <v>25</v>
      </c>
      <c r="D12" s="129"/>
      <c r="E12" s="108">
        <v>10</v>
      </c>
      <c r="F12" s="109"/>
      <c r="G12" s="36">
        <f>'havi adatok'!$J$36</f>
        <v>108.78383860474342</v>
      </c>
      <c r="H12" s="6">
        <f t="shared" si="0"/>
        <v>1087.8383860474341</v>
      </c>
      <c r="I12" s="110">
        <v>0</v>
      </c>
      <c r="J12" s="111"/>
      <c r="K12" s="35">
        <f t="shared" si="1"/>
        <v>823.33292019208784</v>
      </c>
      <c r="L12" s="6">
        <f t="shared" si="2"/>
        <v>0</v>
      </c>
      <c r="M12" s="7">
        <v>0</v>
      </c>
      <c r="N12" s="35">
        <f t="shared" si="3"/>
        <v>1295.7142857142858</v>
      </c>
      <c r="O12" s="6">
        <f t="shared" si="4"/>
        <v>0</v>
      </c>
      <c r="P12" s="74"/>
      <c r="Q12" s="75"/>
      <c r="R12" s="74"/>
      <c r="S12" s="76"/>
      <c r="T12" s="75"/>
      <c r="U12" s="74"/>
      <c r="V12" s="75"/>
      <c r="W12" s="74"/>
      <c r="X12" s="76"/>
      <c r="Y12" s="75"/>
      <c r="Z12" s="147"/>
      <c r="AA12" s="147"/>
      <c r="AB12" s="148"/>
      <c r="AC12" s="74"/>
      <c r="AD12" s="75"/>
      <c r="AE12" s="74"/>
      <c r="AF12" s="76"/>
      <c r="AG12" s="75"/>
    </row>
    <row r="13" spans="1:33" ht="14.4" thickBot="1" x14ac:dyDescent="0.3">
      <c r="A13" s="101" t="s">
        <v>15</v>
      </c>
      <c r="B13" s="8" t="s">
        <v>16</v>
      </c>
      <c r="C13" s="78"/>
      <c r="D13" s="82"/>
      <c r="E13" s="104">
        <v>1.8</v>
      </c>
      <c r="F13" s="105"/>
      <c r="G13" s="36">
        <f>'havi adatok'!$J$36</f>
        <v>108.78383860474342</v>
      </c>
      <c r="H13" s="9">
        <f>E13*G13</f>
        <v>195.81090948853816</v>
      </c>
      <c r="I13" s="106">
        <v>2</v>
      </c>
      <c r="J13" s="107"/>
      <c r="K13" s="35">
        <f t="shared" si="1"/>
        <v>823.33292019208784</v>
      </c>
      <c r="L13" s="10">
        <f t="shared" si="2"/>
        <v>1646.6658403841757</v>
      </c>
      <c r="M13" s="11">
        <v>2</v>
      </c>
      <c r="N13" s="35">
        <f t="shared" si="3"/>
        <v>1295.7142857142858</v>
      </c>
      <c r="O13" s="12">
        <f>N13*M13</f>
        <v>2591.4285714285716</v>
      </c>
      <c r="P13" s="65">
        <f>'havi adatok'!$J$37/34.8</f>
        <v>361.22284878133115</v>
      </c>
      <c r="Q13" s="66"/>
      <c r="R13" s="66"/>
      <c r="S13" s="66"/>
      <c r="T13" s="67"/>
      <c r="U13" s="92">
        <f>'havi adatok'!$J$38</f>
        <v>32183.078923971672</v>
      </c>
      <c r="V13" s="93"/>
      <c r="W13" s="93"/>
      <c r="X13" s="93"/>
      <c r="Y13" s="94"/>
      <c r="Z13" s="147"/>
      <c r="AA13" s="147"/>
      <c r="AB13" s="148"/>
      <c r="AC13" s="65">
        <f>'havi adatok'!$R$37/34</f>
        <v>287.09989572610698</v>
      </c>
      <c r="AD13" s="66"/>
      <c r="AE13" s="66"/>
      <c r="AF13" s="66"/>
      <c r="AG13" s="67"/>
    </row>
    <row r="14" spans="1:33" ht="14.4" thickBot="1" x14ac:dyDescent="0.3">
      <c r="A14" s="102"/>
      <c r="B14" s="8" t="s">
        <v>17</v>
      </c>
      <c r="C14" s="78"/>
      <c r="D14" s="82"/>
      <c r="E14" s="104">
        <v>1.8</v>
      </c>
      <c r="F14" s="105"/>
      <c r="G14" s="36">
        <f>'havi adatok'!$J$36</f>
        <v>108.78383860474342</v>
      </c>
      <c r="H14" s="9">
        <f t="shared" ref="H14:H26" si="5">E14*G14</f>
        <v>195.81090948853816</v>
      </c>
      <c r="I14" s="106">
        <v>2</v>
      </c>
      <c r="J14" s="107"/>
      <c r="K14" s="35">
        <f t="shared" si="1"/>
        <v>823.33292019208784</v>
      </c>
      <c r="L14" s="10">
        <f t="shared" si="2"/>
        <v>1646.6658403841757</v>
      </c>
      <c r="M14" s="11">
        <v>2</v>
      </c>
      <c r="N14" s="35">
        <f t="shared" si="3"/>
        <v>1295.7142857142858</v>
      </c>
      <c r="O14" s="12">
        <f t="shared" ref="O14:O27" si="6">N14*M14</f>
        <v>2591.4285714285716</v>
      </c>
      <c r="P14" s="68"/>
      <c r="Q14" s="69"/>
      <c r="R14" s="69"/>
      <c r="S14" s="69"/>
      <c r="T14" s="70"/>
      <c r="U14" s="95"/>
      <c r="V14" s="96"/>
      <c r="W14" s="96"/>
      <c r="X14" s="96"/>
      <c r="Y14" s="97"/>
      <c r="Z14" s="147"/>
      <c r="AA14" s="147"/>
      <c r="AB14" s="148"/>
      <c r="AC14" s="68"/>
      <c r="AD14" s="69"/>
      <c r="AE14" s="69"/>
      <c r="AF14" s="69"/>
      <c r="AG14" s="70"/>
    </row>
    <row r="15" spans="1:33" ht="14.4" thickBot="1" x14ac:dyDescent="0.3">
      <c r="A15" s="102"/>
      <c r="B15" s="8" t="s">
        <v>18</v>
      </c>
      <c r="C15" s="78"/>
      <c r="D15" s="82"/>
      <c r="E15" s="104">
        <v>1.8</v>
      </c>
      <c r="F15" s="105"/>
      <c r="G15" s="36">
        <f>'havi adatok'!$J$36</f>
        <v>108.78383860474342</v>
      </c>
      <c r="H15" s="9">
        <f t="shared" si="5"/>
        <v>195.81090948853816</v>
      </c>
      <c r="I15" s="106">
        <v>2</v>
      </c>
      <c r="J15" s="107"/>
      <c r="K15" s="35">
        <f t="shared" si="1"/>
        <v>823.33292019208784</v>
      </c>
      <c r="L15" s="10">
        <f t="shared" si="2"/>
        <v>1646.6658403841757</v>
      </c>
      <c r="M15" s="11">
        <v>2</v>
      </c>
      <c r="N15" s="35">
        <f t="shared" si="3"/>
        <v>1295.7142857142858</v>
      </c>
      <c r="O15" s="12">
        <f t="shared" si="6"/>
        <v>2591.4285714285716</v>
      </c>
      <c r="P15" s="68"/>
      <c r="Q15" s="69"/>
      <c r="R15" s="69"/>
      <c r="S15" s="69"/>
      <c r="T15" s="70"/>
      <c r="U15" s="95"/>
      <c r="V15" s="96"/>
      <c r="W15" s="96"/>
      <c r="X15" s="96"/>
      <c r="Y15" s="97"/>
      <c r="Z15" s="147"/>
      <c r="AA15" s="147"/>
      <c r="AB15" s="148"/>
      <c r="AC15" s="68"/>
      <c r="AD15" s="69"/>
      <c r="AE15" s="69"/>
      <c r="AF15" s="69"/>
      <c r="AG15" s="70"/>
    </row>
    <row r="16" spans="1:33" ht="14.4" thickBot="1" x14ac:dyDescent="0.3">
      <c r="A16" s="102"/>
      <c r="B16" s="112" t="s">
        <v>19</v>
      </c>
      <c r="C16" s="78"/>
      <c r="D16" s="82"/>
      <c r="E16" s="104">
        <v>1.8</v>
      </c>
      <c r="F16" s="105"/>
      <c r="G16" s="36">
        <f>'havi adatok'!$J$36</f>
        <v>108.78383860474342</v>
      </c>
      <c r="H16" s="9">
        <f t="shared" si="5"/>
        <v>195.81090948853816</v>
      </c>
      <c r="I16" s="114">
        <v>2</v>
      </c>
      <c r="J16" s="115"/>
      <c r="K16" s="118">
        <f t="shared" ref="K16" si="7">$K$8</f>
        <v>823.33292019208784</v>
      </c>
      <c r="L16" s="120">
        <f>K16*I16</f>
        <v>1646.6658403841757</v>
      </c>
      <c r="M16" s="122">
        <v>2</v>
      </c>
      <c r="N16" s="124">
        <f t="shared" ref="N16" si="8">$N$15</f>
        <v>1295.7142857142858</v>
      </c>
      <c r="O16" s="120">
        <f t="shared" si="6"/>
        <v>2591.4285714285716</v>
      </c>
      <c r="P16" s="68"/>
      <c r="Q16" s="69"/>
      <c r="R16" s="69"/>
      <c r="S16" s="69"/>
      <c r="T16" s="70"/>
      <c r="U16" s="95"/>
      <c r="V16" s="96"/>
      <c r="W16" s="96"/>
      <c r="X16" s="96"/>
      <c r="Y16" s="97"/>
      <c r="Z16" s="147"/>
      <c r="AA16" s="147"/>
      <c r="AB16" s="148"/>
      <c r="AC16" s="68"/>
      <c r="AD16" s="69"/>
      <c r="AE16" s="69"/>
      <c r="AF16" s="69"/>
      <c r="AG16" s="70"/>
    </row>
    <row r="17" spans="1:33" ht="26.25" customHeight="1" thickBot="1" x14ac:dyDescent="0.3">
      <c r="A17" s="102"/>
      <c r="B17" s="113"/>
      <c r="C17" s="78"/>
      <c r="D17" s="82"/>
      <c r="E17" s="126">
        <v>70</v>
      </c>
      <c r="F17" s="127"/>
      <c r="G17" s="36">
        <f>'havi adatok'!$J$36</f>
        <v>108.78383860474342</v>
      </c>
      <c r="H17" s="13">
        <f t="shared" si="5"/>
        <v>7614.8687023320399</v>
      </c>
      <c r="I17" s="116"/>
      <c r="J17" s="117"/>
      <c r="K17" s="119"/>
      <c r="L17" s="121"/>
      <c r="M17" s="123"/>
      <c r="N17" s="125"/>
      <c r="O17" s="121">
        <f t="shared" si="6"/>
        <v>0</v>
      </c>
      <c r="P17" s="68"/>
      <c r="Q17" s="69"/>
      <c r="R17" s="69"/>
      <c r="S17" s="69"/>
      <c r="T17" s="70"/>
      <c r="U17" s="95"/>
      <c r="V17" s="96"/>
      <c r="W17" s="96"/>
      <c r="X17" s="96"/>
      <c r="Y17" s="97"/>
      <c r="Z17" s="147"/>
      <c r="AA17" s="147"/>
      <c r="AB17" s="148"/>
      <c r="AC17" s="68"/>
      <c r="AD17" s="69"/>
      <c r="AE17" s="69"/>
      <c r="AF17" s="69"/>
      <c r="AG17" s="70"/>
    </row>
    <row r="18" spans="1:33" ht="27" thickBot="1" x14ac:dyDescent="0.3">
      <c r="A18" s="103"/>
      <c r="B18" s="14" t="s">
        <v>20</v>
      </c>
      <c r="C18" s="78"/>
      <c r="D18" s="82"/>
      <c r="E18" s="104">
        <v>1.8</v>
      </c>
      <c r="F18" s="105"/>
      <c r="G18" s="36">
        <f>'havi adatok'!$J$36</f>
        <v>108.78383860474342</v>
      </c>
      <c r="H18" s="9">
        <f t="shared" si="5"/>
        <v>195.81090948853816</v>
      </c>
      <c r="I18" s="106">
        <v>2</v>
      </c>
      <c r="J18" s="107"/>
      <c r="K18" s="35">
        <f>$K$8</f>
        <v>823.33292019208784</v>
      </c>
      <c r="L18" s="10">
        <f t="shared" si="2"/>
        <v>1646.6658403841757</v>
      </c>
      <c r="M18" s="11">
        <v>2</v>
      </c>
      <c r="N18" s="35">
        <f t="shared" ref="N18:N27" si="9">$N$15</f>
        <v>1295.7142857142858</v>
      </c>
      <c r="O18" s="12">
        <f t="shared" si="6"/>
        <v>2591.4285714285716</v>
      </c>
      <c r="P18" s="68"/>
      <c r="Q18" s="69"/>
      <c r="R18" s="69"/>
      <c r="S18" s="69"/>
      <c r="T18" s="70"/>
      <c r="U18" s="95"/>
      <c r="V18" s="96"/>
      <c r="W18" s="96"/>
      <c r="X18" s="96"/>
      <c r="Y18" s="97"/>
      <c r="Z18" s="147"/>
      <c r="AA18" s="147"/>
      <c r="AB18" s="148"/>
      <c r="AC18" s="68"/>
      <c r="AD18" s="69"/>
      <c r="AE18" s="69"/>
      <c r="AF18" s="69"/>
      <c r="AG18" s="70"/>
    </row>
    <row r="19" spans="1:33" ht="14.4" thickBot="1" x14ac:dyDescent="0.3">
      <c r="A19" s="101" t="s">
        <v>21</v>
      </c>
      <c r="B19" s="8" t="s">
        <v>22</v>
      </c>
      <c r="C19" s="78"/>
      <c r="D19" s="82"/>
      <c r="E19" s="104">
        <v>1</v>
      </c>
      <c r="F19" s="105"/>
      <c r="G19" s="36">
        <f>'havi adatok'!$J$36</f>
        <v>108.78383860474342</v>
      </c>
      <c r="H19" s="9">
        <f t="shared" si="5"/>
        <v>108.78383860474342</v>
      </c>
      <c r="I19" s="106">
        <v>1</v>
      </c>
      <c r="J19" s="107"/>
      <c r="K19" s="35">
        <f t="shared" ref="K19:K27" si="10">$K$8</f>
        <v>823.33292019208784</v>
      </c>
      <c r="L19" s="10">
        <f t="shared" si="2"/>
        <v>823.33292019208784</v>
      </c>
      <c r="M19" s="11">
        <v>1</v>
      </c>
      <c r="N19" s="35">
        <f t="shared" si="9"/>
        <v>1295.7142857142858</v>
      </c>
      <c r="O19" s="12">
        <f t="shared" si="6"/>
        <v>1295.7142857142858</v>
      </c>
      <c r="P19" s="68"/>
      <c r="Q19" s="69"/>
      <c r="R19" s="69"/>
      <c r="S19" s="69"/>
      <c r="T19" s="70"/>
      <c r="U19" s="95"/>
      <c r="V19" s="96"/>
      <c r="W19" s="96"/>
      <c r="X19" s="96"/>
      <c r="Y19" s="97"/>
      <c r="Z19" s="147"/>
      <c r="AA19" s="147"/>
      <c r="AB19" s="148"/>
      <c r="AC19" s="68"/>
      <c r="AD19" s="69"/>
      <c r="AE19" s="69"/>
      <c r="AF19" s="69"/>
      <c r="AG19" s="70"/>
    </row>
    <row r="20" spans="1:33" ht="14.4" thickBot="1" x14ac:dyDescent="0.3">
      <c r="A20" s="102"/>
      <c r="B20" s="8" t="s">
        <v>23</v>
      </c>
      <c r="C20" s="78"/>
      <c r="D20" s="82"/>
      <c r="E20" s="104">
        <v>1</v>
      </c>
      <c r="F20" s="105"/>
      <c r="G20" s="36">
        <f>'havi adatok'!$J$36</f>
        <v>108.78383860474342</v>
      </c>
      <c r="H20" s="9">
        <f t="shared" si="5"/>
        <v>108.78383860474342</v>
      </c>
      <c r="I20" s="106">
        <v>1</v>
      </c>
      <c r="J20" s="107"/>
      <c r="K20" s="35">
        <f t="shared" si="10"/>
        <v>823.33292019208784</v>
      </c>
      <c r="L20" s="10">
        <f t="shared" si="2"/>
        <v>823.33292019208784</v>
      </c>
      <c r="M20" s="11">
        <v>1</v>
      </c>
      <c r="N20" s="35">
        <f t="shared" si="9"/>
        <v>1295.7142857142858</v>
      </c>
      <c r="O20" s="12">
        <f t="shared" si="6"/>
        <v>1295.7142857142858</v>
      </c>
      <c r="P20" s="68"/>
      <c r="Q20" s="69"/>
      <c r="R20" s="69"/>
      <c r="S20" s="69"/>
      <c r="T20" s="70"/>
      <c r="U20" s="95"/>
      <c r="V20" s="96"/>
      <c r="W20" s="96"/>
      <c r="X20" s="96"/>
      <c r="Y20" s="97"/>
      <c r="Z20" s="147"/>
      <c r="AA20" s="147"/>
      <c r="AB20" s="148"/>
      <c r="AC20" s="68"/>
      <c r="AD20" s="69"/>
      <c r="AE20" s="69"/>
      <c r="AF20" s="69"/>
      <c r="AG20" s="70"/>
    </row>
    <row r="21" spans="1:33" ht="14.4" thickBot="1" x14ac:dyDescent="0.3">
      <c r="A21" s="102"/>
      <c r="B21" s="8" t="s">
        <v>24</v>
      </c>
      <c r="C21" s="78"/>
      <c r="D21" s="82"/>
      <c r="E21" s="104">
        <v>1</v>
      </c>
      <c r="F21" s="105"/>
      <c r="G21" s="36">
        <f>'havi adatok'!$J$36</f>
        <v>108.78383860474342</v>
      </c>
      <c r="H21" s="9">
        <f t="shared" si="5"/>
        <v>108.78383860474342</v>
      </c>
      <c r="I21" s="106">
        <v>1</v>
      </c>
      <c r="J21" s="107"/>
      <c r="K21" s="35">
        <f t="shared" si="10"/>
        <v>823.33292019208784</v>
      </c>
      <c r="L21" s="10">
        <f t="shared" si="2"/>
        <v>823.33292019208784</v>
      </c>
      <c r="M21" s="11">
        <v>1</v>
      </c>
      <c r="N21" s="35">
        <f t="shared" si="9"/>
        <v>1295.7142857142858</v>
      </c>
      <c r="O21" s="12">
        <f t="shared" si="6"/>
        <v>1295.7142857142858</v>
      </c>
      <c r="P21" s="68"/>
      <c r="Q21" s="69"/>
      <c r="R21" s="69"/>
      <c r="S21" s="69"/>
      <c r="T21" s="70"/>
      <c r="U21" s="95"/>
      <c r="V21" s="96"/>
      <c r="W21" s="96"/>
      <c r="X21" s="96"/>
      <c r="Y21" s="97"/>
      <c r="Z21" s="147"/>
      <c r="AA21" s="147"/>
      <c r="AB21" s="148"/>
      <c r="AC21" s="68"/>
      <c r="AD21" s="69"/>
      <c r="AE21" s="69"/>
      <c r="AF21" s="69"/>
      <c r="AG21" s="70"/>
    </row>
    <row r="22" spans="1:33" ht="14.4" thickBot="1" x14ac:dyDescent="0.3">
      <c r="A22" s="102"/>
      <c r="B22" s="8" t="s">
        <v>25</v>
      </c>
      <c r="C22" s="78"/>
      <c r="D22" s="82"/>
      <c r="E22" s="104">
        <v>1</v>
      </c>
      <c r="F22" s="105"/>
      <c r="G22" s="36">
        <f>'havi adatok'!$J$36</f>
        <v>108.78383860474342</v>
      </c>
      <c r="H22" s="9">
        <f t="shared" si="5"/>
        <v>108.78383860474342</v>
      </c>
      <c r="I22" s="106">
        <v>1</v>
      </c>
      <c r="J22" s="107"/>
      <c r="K22" s="35">
        <f t="shared" si="10"/>
        <v>823.33292019208784</v>
      </c>
      <c r="L22" s="10">
        <f t="shared" si="2"/>
        <v>823.33292019208784</v>
      </c>
      <c r="M22" s="11">
        <v>1</v>
      </c>
      <c r="N22" s="35">
        <f t="shared" si="9"/>
        <v>1295.7142857142858</v>
      </c>
      <c r="O22" s="12">
        <f t="shared" si="6"/>
        <v>1295.7142857142858</v>
      </c>
      <c r="P22" s="68"/>
      <c r="Q22" s="69"/>
      <c r="R22" s="69"/>
      <c r="S22" s="69"/>
      <c r="T22" s="70"/>
      <c r="U22" s="95"/>
      <c r="V22" s="96"/>
      <c r="W22" s="96"/>
      <c r="X22" s="96"/>
      <c r="Y22" s="97"/>
      <c r="Z22" s="147"/>
      <c r="AA22" s="147"/>
      <c r="AB22" s="148"/>
      <c r="AC22" s="68"/>
      <c r="AD22" s="69"/>
      <c r="AE22" s="69"/>
      <c r="AF22" s="69"/>
      <c r="AG22" s="70"/>
    </row>
    <row r="23" spans="1:33" ht="14.4" thickBot="1" x14ac:dyDescent="0.3">
      <c r="A23" s="103"/>
      <c r="B23" s="8" t="s">
        <v>26</v>
      </c>
      <c r="C23" s="78"/>
      <c r="D23" s="82"/>
      <c r="E23" s="104">
        <v>1</v>
      </c>
      <c r="F23" s="105"/>
      <c r="G23" s="36">
        <f>'havi adatok'!$J$36</f>
        <v>108.78383860474342</v>
      </c>
      <c r="H23" s="9">
        <f t="shared" si="5"/>
        <v>108.78383860474342</v>
      </c>
      <c r="I23" s="106">
        <v>1</v>
      </c>
      <c r="J23" s="107"/>
      <c r="K23" s="35">
        <f t="shared" si="10"/>
        <v>823.33292019208784</v>
      </c>
      <c r="L23" s="10">
        <f t="shared" si="2"/>
        <v>823.33292019208784</v>
      </c>
      <c r="M23" s="11">
        <v>1</v>
      </c>
      <c r="N23" s="35">
        <f t="shared" si="9"/>
        <v>1295.7142857142858</v>
      </c>
      <c r="O23" s="12">
        <f t="shared" si="6"/>
        <v>1295.7142857142858</v>
      </c>
      <c r="P23" s="68"/>
      <c r="Q23" s="69"/>
      <c r="R23" s="69"/>
      <c r="S23" s="69"/>
      <c r="T23" s="70"/>
      <c r="U23" s="95"/>
      <c r="V23" s="96"/>
      <c r="W23" s="96"/>
      <c r="X23" s="96"/>
      <c r="Y23" s="97"/>
      <c r="Z23" s="147"/>
      <c r="AA23" s="147"/>
      <c r="AB23" s="148"/>
      <c r="AC23" s="68"/>
      <c r="AD23" s="69"/>
      <c r="AE23" s="69"/>
      <c r="AF23" s="69"/>
      <c r="AG23" s="70"/>
    </row>
    <row r="24" spans="1:33" ht="14.4" thickBot="1" x14ac:dyDescent="0.3">
      <c r="A24" s="15" t="s">
        <v>27</v>
      </c>
      <c r="B24" s="8"/>
      <c r="C24" s="78"/>
      <c r="D24" s="82"/>
      <c r="E24" s="104">
        <v>2</v>
      </c>
      <c r="F24" s="105"/>
      <c r="G24" s="36">
        <f>'havi adatok'!$J$36</f>
        <v>108.78383860474342</v>
      </c>
      <c r="H24" s="9">
        <f t="shared" si="5"/>
        <v>217.56767720948685</v>
      </c>
      <c r="I24" s="106">
        <v>1</v>
      </c>
      <c r="J24" s="107"/>
      <c r="K24" s="35">
        <f t="shared" si="10"/>
        <v>823.33292019208784</v>
      </c>
      <c r="L24" s="10">
        <f t="shared" si="2"/>
        <v>823.33292019208784</v>
      </c>
      <c r="M24" s="11">
        <v>1</v>
      </c>
      <c r="N24" s="35">
        <f t="shared" si="9"/>
        <v>1295.7142857142858</v>
      </c>
      <c r="O24" s="12">
        <f t="shared" si="6"/>
        <v>1295.7142857142858</v>
      </c>
      <c r="P24" s="68"/>
      <c r="Q24" s="69"/>
      <c r="R24" s="69"/>
      <c r="S24" s="69"/>
      <c r="T24" s="70"/>
      <c r="U24" s="95"/>
      <c r="V24" s="96"/>
      <c r="W24" s="96"/>
      <c r="X24" s="96"/>
      <c r="Y24" s="97"/>
      <c r="Z24" s="147"/>
      <c r="AA24" s="147"/>
      <c r="AB24" s="148"/>
      <c r="AC24" s="68"/>
      <c r="AD24" s="69"/>
      <c r="AE24" s="69"/>
      <c r="AF24" s="69"/>
      <c r="AG24" s="70"/>
    </row>
    <row r="25" spans="1:33" ht="27" thickBot="1" x14ac:dyDescent="0.3">
      <c r="A25" s="101" t="s">
        <v>28</v>
      </c>
      <c r="B25" s="14" t="s">
        <v>29</v>
      </c>
      <c r="C25" s="78"/>
      <c r="D25" s="82"/>
      <c r="E25" s="104">
        <v>2</v>
      </c>
      <c r="F25" s="105"/>
      <c r="G25" s="36">
        <f>'havi adatok'!$J$36</f>
        <v>108.78383860474342</v>
      </c>
      <c r="H25" s="9">
        <f t="shared" si="5"/>
        <v>217.56767720948685</v>
      </c>
      <c r="I25" s="106">
        <v>1</v>
      </c>
      <c r="J25" s="107"/>
      <c r="K25" s="35">
        <f t="shared" si="10"/>
        <v>823.33292019208784</v>
      </c>
      <c r="L25" s="10">
        <f t="shared" si="2"/>
        <v>823.33292019208784</v>
      </c>
      <c r="M25" s="11">
        <v>1</v>
      </c>
      <c r="N25" s="35">
        <f t="shared" si="9"/>
        <v>1295.7142857142858</v>
      </c>
      <c r="O25" s="12">
        <f t="shared" si="6"/>
        <v>1295.7142857142858</v>
      </c>
      <c r="P25" s="68"/>
      <c r="Q25" s="69"/>
      <c r="R25" s="69"/>
      <c r="S25" s="69"/>
      <c r="T25" s="70"/>
      <c r="U25" s="95"/>
      <c r="V25" s="96"/>
      <c r="W25" s="96"/>
      <c r="X25" s="96"/>
      <c r="Y25" s="97"/>
      <c r="Z25" s="147"/>
      <c r="AA25" s="147"/>
      <c r="AB25" s="148"/>
      <c r="AC25" s="68"/>
      <c r="AD25" s="69"/>
      <c r="AE25" s="69"/>
      <c r="AF25" s="69"/>
      <c r="AG25" s="70"/>
    </row>
    <row r="26" spans="1:33" ht="14.4" thickBot="1" x14ac:dyDescent="0.3">
      <c r="A26" s="102"/>
      <c r="B26" s="8" t="s">
        <v>30</v>
      </c>
      <c r="C26" s="78"/>
      <c r="D26" s="82"/>
      <c r="E26" s="104">
        <v>2</v>
      </c>
      <c r="F26" s="105"/>
      <c r="G26" s="36">
        <f>'havi adatok'!$J$36</f>
        <v>108.78383860474342</v>
      </c>
      <c r="H26" s="9">
        <f t="shared" si="5"/>
        <v>217.56767720948685</v>
      </c>
      <c r="I26" s="106">
        <v>1.5</v>
      </c>
      <c r="J26" s="107"/>
      <c r="K26" s="35">
        <f t="shared" si="10"/>
        <v>823.33292019208784</v>
      </c>
      <c r="L26" s="10">
        <f t="shared" si="2"/>
        <v>1234.9993802881318</v>
      </c>
      <c r="M26" s="16">
        <v>1.5</v>
      </c>
      <c r="N26" s="35">
        <f t="shared" si="9"/>
        <v>1295.7142857142858</v>
      </c>
      <c r="O26" s="12">
        <f t="shared" si="6"/>
        <v>1943.5714285714287</v>
      </c>
      <c r="P26" s="68"/>
      <c r="Q26" s="69"/>
      <c r="R26" s="69"/>
      <c r="S26" s="69"/>
      <c r="T26" s="70"/>
      <c r="U26" s="95"/>
      <c r="V26" s="96"/>
      <c r="W26" s="96"/>
      <c r="X26" s="96"/>
      <c r="Y26" s="97"/>
      <c r="Z26" s="147"/>
      <c r="AA26" s="147"/>
      <c r="AB26" s="148"/>
      <c r="AC26" s="68"/>
      <c r="AD26" s="69"/>
      <c r="AE26" s="69"/>
      <c r="AF26" s="69"/>
      <c r="AG26" s="70"/>
    </row>
    <row r="27" spans="1:33" ht="14.4" thickBot="1" x14ac:dyDescent="0.3">
      <c r="A27" s="103"/>
      <c r="B27" s="8" t="s">
        <v>31</v>
      </c>
      <c r="C27" s="78"/>
      <c r="D27" s="82"/>
      <c r="E27" s="108">
        <v>300</v>
      </c>
      <c r="F27" s="109"/>
      <c r="G27" s="36">
        <f>'havi adatok'!$J$36</f>
        <v>108.78383860474342</v>
      </c>
      <c r="H27" s="6">
        <f t="shared" ref="H27" si="11">G27*E27</f>
        <v>32635.151581423026</v>
      </c>
      <c r="I27" s="110">
        <v>4</v>
      </c>
      <c r="J27" s="111"/>
      <c r="K27" s="35">
        <f t="shared" si="10"/>
        <v>823.33292019208784</v>
      </c>
      <c r="L27" s="6">
        <f t="shared" si="2"/>
        <v>3293.3316807683514</v>
      </c>
      <c r="M27" s="7">
        <v>4</v>
      </c>
      <c r="N27" s="35">
        <f t="shared" si="9"/>
        <v>1295.7142857142858</v>
      </c>
      <c r="O27" s="6">
        <f t="shared" si="6"/>
        <v>5182.8571428571431</v>
      </c>
      <c r="P27" s="68"/>
      <c r="Q27" s="69"/>
      <c r="R27" s="69"/>
      <c r="S27" s="69"/>
      <c r="T27" s="70"/>
      <c r="U27" s="95"/>
      <c r="V27" s="96"/>
      <c r="W27" s="96"/>
      <c r="X27" s="96"/>
      <c r="Y27" s="97"/>
      <c r="Z27" s="147"/>
      <c r="AA27" s="147"/>
      <c r="AB27" s="148"/>
      <c r="AC27" s="68"/>
      <c r="AD27" s="69"/>
      <c r="AE27" s="69"/>
      <c r="AF27" s="69"/>
      <c r="AG27" s="70"/>
    </row>
    <row r="28" spans="1:33" ht="14.4" thickBot="1" x14ac:dyDescent="0.3">
      <c r="A28" s="15" t="s">
        <v>32</v>
      </c>
      <c r="B28" s="78" t="s">
        <v>33</v>
      </c>
      <c r="C28" s="79"/>
      <c r="D28" s="79"/>
      <c r="E28" s="79"/>
      <c r="F28" s="79"/>
      <c r="G28" s="79"/>
      <c r="H28" s="79"/>
      <c r="I28" s="79"/>
      <c r="J28" s="80"/>
      <c r="K28" s="81"/>
      <c r="L28" s="82"/>
      <c r="M28" s="5"/>
      <c r="N28" s="78"/>
      <c r="O28" s="82"/>
      <c r="P28" s="71"/>
      <c r="Q28" s="72"/>
      <c r="R28" s="72"/>
      <c r="S28" s="72"/>
      <c r="T28" s="73"/>
      <c r="U28" s="98"/>
      <c r="V28" s="99"/>
      <c r="W28" s="99"/>
      <c r="X28" s="99"/>
      <c r="Y28" s="100"/>
      <c r="Z28" s="149"/>
      <c r="AA28" s="149"/>
      <c r="AB28" s="150"/>
      <c r="AC28" s="71"/>
      <c r="AD28" s="72"/>
      <c r="AE28" s="72"/>
      <c r="AF28" s="72"/>
      <c r="AG28" s="73"/>
    </row>
    <row r="29" spans="1:33" ht="14.4" thickBot="1" x14ac:dyDescent="0.3">
      <c r="A29" s="83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5"/>
    </row>
    <row r="30" spans="1:33" x14ac:dyDescent="0.25">
      <c r="A30" s="86" t="s">
        <v>35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8"/>
    </row>
    <row r="31" spans="1:33" ht="14.4" thickBot="1" x14ac:dyDescent="0.3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</row>
    <row r="32" spans="1:33" ht="15" customHeight="1" x14ac:dyDescent="0.25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</sheetData>
  <mergeCells count="131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AC13:AG28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AC2:AG3"/>
    <mergeCell ref="AC4:AG4"/>
    <mergeCell ref="AC5:AG5"/>
    <mergeCell ref="AC6:AE6"/>
    <mergeCell ref="AF6:AG6"/>
    <mergeCell ref="AC7:AG10"/>
    <mergeCell ref="AC11:AD11"/>
    <mergeCell ref="AE11:AG11"/>
    <mergeCell ref="AC12:AD12"/>
    <mergeCell ref="AE12:AG1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09375" defaultRowHeight="13.8" x14ac:dyDescent="0.25"/>
  <cols>
    <col min="1" max="1" width="12.44140625" style="1" customWidth="1"/>
    <col min="2" max="2" width="12.5546875" style="1" customWidth="1"/>
    <col min="3" max="6" width="9.109375" style="1"/>
    <col min="7" max="8" width="11.5546875" style="1" bestFit="1" customWidth="1"/>
    <col min="9" max="10" width="9.109375" style="1"/>
    <col min="11" max="11" width="11.44140625" style="1" bestFit="1" customWidth="1"/>
    <col min="12" max="12" width="10.88671875" style="1" bestFit="1" customWidth="1"/>
    <col min="13" max="13" width="10.109375" style="1" customWidth="1"/>
    <col min="14" max="15" width="12.33203125" style="1" customWidth="1"/>
    <col min="16" max="17" width="2.88671875" style="1" customWidth="1"/>
    <col min="18" max="18" width="4" style="1" customWidth="1"/>
    <col min="19" max="19" width="4.109375" style="1" customWidth="1"/>
    <col min="20" max="21" width="3.33203125" style="1" customWidth="1"/>
    <col min="22" max="22" width="4" style="1" customWidth="1"/>
    <col min="23" max="23" width="2.5546875" style="1" customWidth="1"/>
    <col min="24" max="24" width="6.6640625" style="1" customWidth="1"/>
    <col min="25" max="25" width="3.33203125" style="1" customWidth="1"/>
    <col min="26" max="28" width="4.33203125" style="1" customWidth="1"/>
    <col min="29" max="16384" width="9.109375" style="1"/>
  </cols>
  <sheetData>
    <row r="1" spans="1:28" ht="18" x14ac:dyDescent="0.35">
      <c r="A1" s="132" t="str">
        <f>'havi adatok'!$A$15</f>
        <v>2025.09.29-ig igazolt számlák alapján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</row>
    <row r="2" spans="1:28" ht="15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</row>
    <row r="3" spans="1:28" ht="15.75" customHeight="1" thickBot="1" x14ac:dyDescent="0.3">
      <c r="A3" s="134" t="s">
        <v>52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</row>
    <row r="4" spans="1:28" ht="14.4" thickBot="1" x14ac:dyDescent="0.3">
      <c r="A4" s="135" t="s">
        <v>1</v>
      </c>
      <c r="B4" s="135" t="s">
        <v>2</v>
      </c>
      <c r="C4" s="139" t="s">
        <v>3</v>
      </c>
      <c r="D4" s="140"/>
      <c r="E4" s="59" t="s">
        <v>4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59" t="s">
        <v>5</v>
      </c>
      <c r="AA4" s="60"/>
      <c r="AB4" s="61"/>
    </row>
    <row r="5" spans="1:28" ht="14.4" thickBot="1" x14ac:dyDescent="0.3">
      <c r="A5" s="136"/>
      <c r="B5" s="136"/>
      <c r="C5" s="141"/>
      <c r="D5" s="142"/>
      <c r="E5" s="59" t="s">
        <v>6</v>
      </c>
      <c r="F5" s="60"/>
      <c r="G5" s="60"/>
      <c r="H5" s="61"/>
      <c r="I5" s="59" t="s">
        <v>7</v>
      </c>
      <c r="J5" s="60"/>
      <c r="K5" s="60"/>
      <c r="L5" s="61"/>
      <c r="M5" s="60" t="s">
        <v>8</v>
      </c>
      <c r="N5" s="60"/>
      <c r="O5" s="61"/>
      <c r="P5" s="59" t="s">
        <v>57</v>
      </c>
      <c r="Q5" s="60"/>
      <c r="R5" s="60"/>
      <c r="S5" s="60"/>
      <c r="T5" s="61"/>
      <c r="U5" s="59" t="s">
        <v>58</v>
      </c>
      <c r="V5" s="60"/>
      <c r="W5" s="60"/>
      <c r="X5" s="60"/>
      <c r="Y5" s="61"/>
      <c r="Z5" s="145" t="s">
        <v>9</v>
      </c>
      <c r="AA5" s="145"/>
      <c r="AB5" s="146"/>
    </row>
    <row r="6" spans="1:28" ht="38.25" customHeight="1" thickBot="1" x14ac:dyDescent="0.3">
      <c r="A6" s="137"/>
      <c r="B6" s="138"/>
      <c r="C6" s="143"/>
      <c r="D6" s="144"/>
      <c r="E6" s="59" t="s">
        <v>10</v>
      </c>
      <c r="F6" s="61"/>
      <c r="G6" s="2" t="s">
        <v>44</v>
      </c>
      <c r="H6" s="2" t="s">
        <v>11</v>
      </c>
      <c r="I6" s="59" t="s">
        <v>10</v>
      </c>
      <c r="J6" s="61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62" t="s">
        <v>10</v>
      </c>
      <c r="Q6" s="63"/>
      <c r="R6" s="64"/>
      <c r="S6" s="62" t="s">
        <v>11</v>
      </c>
      <c r="T6" s="64"/>
      <c r="U6" s="62" t="s">
        <v>10</v>
      </c>
      <c r="V6" s="63"/>
      <c r="W6" s="64"/>
      <c r="X6" s="62" t="s">
        <v>11</v>
      </c>
      <c r="Y6" s="64"/>
      <c r="Z6" s="147"/>
      <c r="AA6" s="147"/>
      <c r="AB6" s="148"/>
    </row>
    <row r="7" spans="1:28" ht="14.4" thickBot="1" x14ac:dyDescent="0.3">
      <c r="A7" s="130" t="s">
        <v>12</v>
      </c>
      <c r="B7" s="5"/>
      <c r="C7" s="151">
        <v>15</v>
      </c>
      <c r="D7" s="152"/>
      <c r="E7" s="108">
        <v>100</v>
      </c>
      <c r="F7" s="109"/>
      <c r="G7" s="36">
        <f>'havi adatok'!$H$36</f>
        <v>107.50431710208179</v>
      </c>
      <c r="H7" s="6">
        <f>G7*E7</f>
        <v>10750.431710208179</v>
      </c>
      <c r="I7" s="110">
        <v>1</v>
      </c>
      <c r="J7" s="111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1389.2700072313551</v>
      </c>
      <c r="O7" s="6">
        <f>N7*M7</f>
        <v>1389.2700072313551</v>
      </c>
      <c r="P7" s="65">
        <f>'havi adatok'!$H$37/34.8</f>
        <v>341.51440340650174</v>
      </c>
      <c r="Q7" s="66"/>
      <c r="R7" s="66"/>
      <c r="S7" s="66"/>
      <c r="T7" s="67"/>
      <c r="U7" s="92">
        <f>'havi adatok'!$H$38</f>
        <v>32216.036893781613</v>
      </c>
      <c r="V7" s="93"/>
      <c r="W7" s="93"/>
      <c r="X7" s="93"/>
      <c r="Y7" s="94"/>
      <c r="Z7" s="147"/>
      <c r="AA7" s="147"/>
      <c r="AB7" s="148"/>
    </row>
    <row r="8" spans="1:28" ht="14.4" thickBot="1" x14ac:dyDescent="0.3">
      <c r="A8" s="131"/>
      <c r="B8" s="5"/>
      <c r="C8" s="128">
        <v>25</v>
      </c>
      <c r="D8" s="129"/>
      <c r="E8" s="108">
        <v>160</v>
      </c>
      <c r="F8" s="109"/>
      <c r="G8" s="36">
        <f>'havi adatok'!$H$36</f>
        <v>107.50431710208179</v>
      </c>
      <c r="H8" s="6">
        <f t="shared" ref="H8:H12" si="0">G8*E8</f>
        <v>17200.690736333087</v>
      </c>
      <c r="I8" s="110">
        <v>1.5</v>
      </c>
      <c r="J8" s="111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1389.2700072313551</v>
      </c>
      <c r="O8" s="6">
        <f t="shared" ref="O8:O12" si="2">N8*M8</f>
        <v>2083.9050108470328</v>
      </c>
      <c r="P8" s="68"/>
      <c r="Q8" s="69"/>
      <c r="R8" s="69"/>
      <c r="S8" s="69"/>
      <c r="T8" s="70"/>
      <c r="U8" s="95"/>
      <c r="V8" s="96"/>
      <c r="W8" s="96"/>
      <c r="X8" s="96"/>
      <c r="Y8" s="97"/>
      <c r="Z8" s="147"/>
      <c r="AA8" s="147"/>
      <c r="AB8" s="148"/>
    </row>
    <row r="9" spans="1:28" ht="14.4" thickBot="1" x14ac:dyDescent="0.3">
      <c r="A9" s="130" t="s">
        <v>13</v>
      </c>
      <c r="B9" s="5"/>
      <c r="C9" s="128">
        <v>15</v>
      </c>
      <c r="D9" s="129"/>
      <c r="E9" s="108">
        <v>240</v>
      </c>
      <c r="F9" s="109"/>
      <c r="G9" s="36">
        <f>'havi adatok'!$H$36</f>
        <v>107.50431710208179</v>
      </c>
      <c r="H9" s="6">
        <f t="shared" si="0"/>
        <v>25801.036104499628</v>
      </c>
      <c r="I9" s="110">
        <v>3</v>
      </c>
      <c r="J9" s="111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1389.2700072313551</v>
      </c>
      <c r="O9" s="6">
        <f t="shared" si="2"/>
        <v>4167.8100216940657</v>
      </c>
      <c r="P9" s="68"/>
      <c r="Q9" s="69"/>
      <c r="R9" s="69"/>
      <c r="S9" s="69"/>
      <c r="T9" s="70"/>
      <c r="U9" s="95"/>
      <c r="V9" s="96"/>
      <c r="W9" s="96"/>
      <c r="X9" s="96"/>
      <c r="Y9" s="97"/>
      <c r="Z9" s="147"/>
      <c r="AA9" s="147"/>
      <c r="AB9" s="148"/>
    </row>
    <row r="10" spans="1:28" ht="14.4" thickBot="1" x14ac:dyDescent="0.3">
      <c r="A10" s="131"/>
      <c r="B10" s="5"/>
      <c r="C10" s="128">
        <v>25</v>
      </c>
      <c r="D10" s="129"/>
      <c r="E10" s="108">
        <v>300</v>
      </c>
      <c r="F10" s="109"/>
      <c r="G10" s="36">
        <f>'havi adatok'!$H$36</f>
        <v>107.50431710208179</v>
      </c>
      <c r="H10" s="6">
        <f t="shared" si="0"/>
        <v>32251.295130624534</v>
      </c>
      <c r="I10" s="110">
        <v>5</v>
      </c>
      <c r="J10" s="111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1389.2700072313551</v>
      </c>
      <c r="O10" s="6">
        <f t="shared" si="2"/>
        <v>6946.3500361567749</v>
      </c>
      <c r="P10" s="71"/>
      <c r="Q10" s="72"/>
      <c r="R10" s="72"/>
      <c r="S10" s="72"/>
      <c r="T10" s="73"/>
      <c r="U10" s="98"/>
      <c r="V10" s="99"/>
      <c r="W10" s="99"/>
      <c r="X10" s="99"/>
      <c r="Y10" s="100"/>
      <c r="Z10" s="147"/>
      <c r="AA10" s="147"/>
      <c r="AB10" s="148"/>
    </row>
    <row r="11" spans="1:28" ht="14.4" thickBot="1" x14ac:dyDescent="0.3">
      <c r="A11" s="130" t="s">
        <v>14</v>
      </c>
      <c r="B11" s="5"/>
      <c r="C11" s="128">
        <v>15</v>
      </c>
      <c r="D11" s="129"/>
      <c r="E11" s="108">
        <v>10</v>
      </c>
      <c r="F11" s="109"/>
      <c r="G11" s="36">
        <f>'havi adatok'!$H$36</f>
        <v>107.50431710208179</v>
      </c>
      <c r="H11" s="6">
        <f t="shared" si="0"/>
        <v>1075.0431710208179</v>
      </c>
      <c r="I11" s="110">
        <v>0</v>
      </c>
      <c r="J11" s="111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1389.2700072313551</v>
      </c>
      <c r="O11" s="6">
        <f t="shared" si="2"/>
        <v>0</v>
      </c>
      <c r="P11" s="74"/>
      <c r="Q11" s="75"/>
      <c r="R11" s="74"/>
      <c r="S11" s="76"/>
      <c r="T11" s="75"/>
      <c r="U11" s="74"/>
      <c r="V11" s="75"/>
      <c r="W11" s="74"/>
      <c r="X11" s="76"/>
      <c r="Y11" s="75"/>
      <c r="Z11" s="147"/>
      <c r="AA11" s="147"/>
      <c r="AB11" s="148"/>
    </row>
    <row r="12" spans="1:28" ht="14.4" thickBot="1" x14ac:dyDescent="0.3">
      <c r="A12" s="131"/>
      <c r="B12" s="5"/>
      <c r="C12" s="128">
        <v>25</v>
      </c>
      <c r="D12" s="129"/>
      <c r="E12" s="108">
        <v>10</v>
      </c>
      <c r="F12" s="109"/>
      <c r="G12" s="36">
        <f>'havi adatok'!$H$36</f>
        <v>107.50431710208179</v>
      </c>
      <c r="H12" s="6">
        <f t="shared" si="0"/>
        <v>1075.0431710208179</v>
      </c>
      <c r="I12" s="110">
        <v>0</v>
      </c>
      <c r="J12" s="111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1389.2700072313551</v>
      </c>
      <c r="O12" s="6">
        <f t="shared" si="2"/>
        <v>0</v>
      </c>
      <c r="P12" s="74"/>
      <c r="Q12" s="75"/>
      <c r="R12" s="74"/>
      <c r="S12" s="76"/>
      <c r="T12" s="75"/>
      <c r="U12" s="74"/>
      <c r="V12" s="75"/>
      <c r="W12" s="74"/>
      <c r="X12" s="76"/>
      <c r="Y12" s="75"/>
      <c r="Z12" s="147"/>
      <c r="AA12" s="147"/>
      <c r="AB12" s="148"/>
    </row>
    <row r="13" spans="1:28" ht="14.4" thickBot="1" x14ac:dyDescent="0.3">
      <c r="A13" s="101" t="s">
        <v>15</v>
      </c>
      <c r="B13" s="8" t="s">
        <v>16</v>
      </c>
      <c r="C13" s="78"/>
      <c r="D13" s="82"/>
      <c r="E13" s="104">
        <v>1.8</v>
      </c>
      <c r="F13" s="105"/>
      <c r="G13" s="36">
        <f>'havi adatok'!$H$36</f>
        <v>107.50431710208179</v>
      </c>
      <c r="H13" s="9">
        <f>E13*G13</f>
        <v>193.50777078374722</v>
      </c>
      <c r="I13" s="106">
        <v>2</v>
      </c>
      <c r="J13" s="107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1389.2700072313551</v>
      </c>
      <c r="O13" s="12">
        <f>N13*M13</f>
        <v>2778.5400144627101</v>
      </c>
      <c r="P13" s="65">
        <f>'havi adatok'!$H$37/34.8</f>
        <v>341.51440340650174</v>
      </c>
      <c r="Q13" s="66"/>
      <c r="R13" s="66"/>
      <c r="S13" s="66"/>
      <c r="T13" s="67"/>
      <c r="U13" s="92">
        <f>'havi adatok'!$H$38</f>
        <v>32216.036893781613</v>
      </c>
      <c r="V13" s="93"/>
      <c r="W13" s="93"/>
      <c r="X13" s="93"/>
      <c r="Y13" s="94"/>
      <c r="Z13" s="147"/>
      <c r="AA13" s="147"/>
      <c r="AB13" s="148"/>
    </row>
    <row r="14" spans="1:28" ht="14.4" thickBot="1" x14ac:dyDescent="0.3">
      <c r="A14" s="102"/>
      <c r="B14" s="8" t="s">
        <v>17</v>
      </c>
      <c r="C14" s="78"/>
      <c r="D14" s="82"/>
      <c r="E14" s="104">
        <v>1.8</v>
      </c>
      <c r="F14" s="105"/>
      <c r="G14" s="36">
        <f>'havi adatok'!$H$36</f>
        <v>107.50431710208179</v>
      </c>
      <c r="H14" s="9">
        <f t="shared" ref="H14:H26" si="3">E14*G14</f>
        <v>193.50777078374722</v>
      </c>
      <c r="I14" s="106">
        <v>2</v>
      </c>
      <c r="J14" s="107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1389.2700072313551</v>
      </c>
      <c r="O14" s="12">
        <f t="shared" ref="O14:O15" si="4">N14*M14</f>
        <v>2778.5400144627101</v>
      </c>
      <c r="P14" s="68"/>
      <c r="Q14" s="69"/>
      <c r="R14" s="69"/>
      <c r="S14" s="69"/>
      <c r="T14" s="70"/>
      <c r="U14" s="95"/>
      <c r="V14" s="96"/>
      <c r="W14" s="96"/>
      <c r="X14" s="96"/>
      <c r="Y14" s="97"/>
      <c r="Z14" s="147"/>
      <c r="AA14" s="147"/>
      <c r="AB14" s="148"/>
    </row>
    <row r="15" spans="1:28" ht="14.4" thickBot="1" x14ac:dyDescent="0.3">
      <c r="A15" s="102"/>
      <c r="B15" s="8" t="s">
        <v>18</v>
      </c>
      <c r="C15" s="78"/>
      <c r="D15" s="82"/>
      <c r="E15" s="104">
        <v>1.8</v>
      </c>
      <c r="F15" s="105"/>
      <c r="G15" s="36">
        <f>'havi adatok'!$H$36</f>
        <v>107.50431710208179</v>
      </c>
      <c r="H15" s="9">
        <f t="shared" si="3"/>
        <v>193.50777078374722</v>
      </c>
      <c r="I15" s="106">
        <v>2</v>
      </c>
      <c r="J15" s="107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1389.2700072313551</v>
      </c>
      <c r="O15" s="12">
        <f t="shared" si="4"/>
        <v>2778.5400144627101</v>
      </c>
      <c r="P15" s="68"/>
      <c r="Q15" s="69"/>
      <c r="R15" s="69"/>
      <c r="S15" s="69"/>
      <c r="T15" s="70"/>
      <c r="U15" s="95"/>
      <c r="V15" s="96"/>
      <c r="W15" s="96"/>
      <c r="X15" s="96"/>
      <c r="Y15" s="97"/>
      <c r="Z15" s="147"/>
      <c r="AA15" s="147"/>
      <c r="AB15" s="148"/>
    </row>
    <row r="16" spans="1:28" ht="14.4" thickBot="1" x14ac:dyDescent="0.3">
      <c r="A16" s="102"/>
      <c r="B16" s="112" t="s">
        <v>19</v>
      </c>
      <c r="C16" s="78"/>
      <c r="D16" s="82"/>
      <c r="E16" s="104">
        <v>1.8</v>
      </c>
      <c r="F16" s="105"/>
      <c r="G16" s="36">
        <f>'havi adatok'!$H$36</f>
        <v>107.50431710208179</v>
      </c>
      <c r="H16" s="9">
        <f t="shared" si="3"/>
        <v>193.50777078374722</v>
      </c>
      <c r="I16" s="114">
        <v>2</v>
      </c>
      <c r="J16" s="115"/>
      <c r="K16" s="118">
        <f>'havi adatok'!$H$39</f>
        <v>871.45118949958987</v>
      </c>
      <c r="L16" s="120">
        <f>K16*I16</f>
        <v>1742.9023789991797</v>
      </c>
      <c r="M16" s="122">
        <v>2</v>
      </c>
      <c r="N16" s="124">
        <f>'havi adatok'!$H$40</f>
        <v>1389.2700072313551</v>
      </c>
      <c r="O16" s="120">
        <f t="shared" ref="O16:O26" si="5">N16*M16</f>
        <v>2778.5400144627101</v>
      </c>
      <c r="P16" s="68"/>
      <c r="Q16" s="69"/>
      <c r="R16" s="69"/>
      <c r="S16" s="69"/>
      <c r="T16" s="70"/>
      <c r="U16" s="95"/>
      <c r="V16" s="96"/>
      <c r="W16" s="96"/>
      <c r="X16" s="96"/>
      <c r="Y16" s="97"/>
      <c r="Z16" s="147"/>
      <c r="AA16" s="147"/>
      <c r="AB16" s="148"/>
    </row>
    <row r="17" spans="1:28" ht="26.25" customHeight="1" thickBot="1" x14ac:dyDescent="0.3">
      <c r="A17" s="102"/>
      <c r="B17" s="113"/>
      <c r="C17" s="78"/>
      <c r="D17" s="82"/>
      <c r="E17" s="126">
        <v>70</v>
      </c>
      <c r="F17" s="127"/>
      <c r="G17" s="36">
        <f>'havi adatok'!$H$36</f>
        <v>107.50431710208179</v>
      </c>
      <c r="H17" s="13">
        <f t="shared" ref="H17" si="6">E17*G17</f>
        <v>7525.3021971457247</v>
      </c>
      <c r="I17" s="116"/>
      <c r="J17" s="117"/>
      <c r="K17" s="119"/>
      <c r="L17" s="121"/>
      <c r="M17" s="123"/>
      <c r="N17" s="125"/>
      <c r="O17" s="121">
        <f t="shared" si="5"/>
        <v>0</v>
      </c>
      <c r="P17" s="68"/>
      <c r="Q17" s="69"/>
      <c r="R17" s="69"/>
      <c r="S17" s="69"/>
      <c r="T17" s="70"/>
      <c r="U17" s="95"/>
      <c r="V17" s="96"/>
      <c r="W17" s="96"/>
      <c r="X17" s="96"/>
      <c r="Y17" s="97"/>
      <c r="Z17" s="147"/>
      <c r="AA17" s="147"/>
      <c r="AB17" s="148"/>
    </row>
    <row r="18" spans="1:28" ht="27" thickBot="1" x14ac:dyDescent="0.3">
      <c r="A18" s="103"/>
      <c r="B18" s="14" t="s">
        <v>20</v>
      </c>
      <c r="C18" s="78"/>
      <c r="D18" s="82"/>
      <c r="E18" s="104">
        <v>1.8</v>
      </c>
      <c r="F18" s="105"/>
      <c r="G18" s="36">
        <f>'havi adatok'!$H$36</f>
        <v>107.50431710208179</v>
      </c>
      <c r="H18" s="9">
        <f t="shared" si="3"/>
        <v>193.50777078374722</v>
      </c>
      <c r="I18" s="106">
        <v>2</v>
      </c>
      <c r="J18" s="107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1389.2700072313551</v>
      </c>
      <c r="O18" s="12">
        <f t="shared" si="5"/>
        <v>2778.5400144627101</v>
      </c>
      <c r="P18" s="68"/>
      <c r="Q18" s="69"/>
      <c r="R18" s="69"/>
      <c r="S18" s="69"/>
      <c r="T18" s="70"/>
      <c r="U18" s="95"/>
      <c r="V18" s="96"/>
      <c r="W18" s="96"/>
      <c r="X18" s="96"/>
      <c r="Y18" s="97"/>
      <c r="Z18" s="147"/>
      <c r="AA18" s="147"/>
      <c r="AB18" s="148"/>
    </row>
    <row r="19" spans="1:28" ht="14.4" thickBot="1" x14ac:dyDescent="0.3">
      <c r="A19" s="101" t="s">
        <v>21</v>
      </c>
      <c r="B19" s="8" t="s">
        <v>22</v>
      </c>
      <c r="C19" s="78"/>
      <c r="D19" s="82"/>
      <c r="E19" s="104">
        <v>1</v>
      </c>
      <c r="F19" s="105"/>
      <c r="G19" s="36">
        <f>'havi adatok'!$H$36</f>
        <v>107.50431710208179</v>
      </c>
      <c r="H19" s="9">
        <f t="shared" si="3"/>
        <v>107.50431710208179</v>
      </c>
      <c r="I19" s="106">
        <v>1</v>
      </c>
      <c r="J19" s="107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1389.2700072313551</v>
      </c>
      <c r="O19" s="12">
        <f t="shared" si="5"/>
        <v>1389.2700072313551</v>
      </c>
      <c r="P19" s="68"/>
      <c r="Q19" s="69"/>
      <c r="R19" s="69"/>
      <c r="S19" s="69"/>
      <c r="T19" s="70"/>
      <c r="U19" s="95"/>
      <c r="V19" s="96"/>
      <c r="W19" s="96"/>
      <c r="X19" s="96"/>
      <c r="Y19" s="97"/>
      <c r="Z19" s="147"/>
      <c r="AA19" s="147"/>
      <c r="AB19" s="148"/>
    </row>
    <row r="20" spans="1:28" ht="14.4" thickBot="1" x14ac:dyDescent="0.3">
      <c r="A20" s="102"/>
      <c r="B20" s="8" t="s">
        <v>23</v>
      </c>
      <c r="C20" s="78"/>
      <c r="D20" s="82"/>
      <c r="E20" s="104">
        <v>1</v>
      </c>
      <c r="F20" s="105"/>
      <c r="G20" s="36">
        <f>'havi adatok'!$H$36</f>
        <v>107.50431710208179</v>
      </c>
      <c r="H20" s="9">
        <f t="shared" si="3"/>
        <v>107.50431710208179</v>
      </c>
      <c r="I20" s="106">
        <v>1</v>
      </c>
      <c r="J20" s="107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1389.2700072313551</v>
      </c>
      <c r="O20" s="12">
        <f t="shared" si="5"/>
        <v>1389.2700072313551</v>
      </c>
      <c r="P20" s="68"/>
      <c r="Q20" s="69"/>
      <c r="R20" s="69"/>
      <c r="S20" s="69"/>
      <c r="T20" s="70"/>
      <c r="U20" s="95"/>
      <c r="V20" s="96"/>
      <c r="W20" s="96"/>
      <c r="X20" s="96"/>
      <c r="Y20" s="97"/>
      <c r="Z20" s="147"/>
      <c r="AA20" s="147"/>
      <c r="AB20" s="148"/>
    </row>
    <row r="21" spans="1:28" ht="14.4" thickBot="1" x14ac:dyDescent="0.3">
      <c r="A21" s="102"/>
      <c r="B21" s="8" t="s">
        <v>24</v>
      </c>
      <c r="C21" s="78"/>
      <c r="D21" s="82"/>
      <c r="E21" s="104">
        <v>1</v>
      </c>
      <c r="F21" s="105"/>
      <c r="G21" s="36">
        <f>'havi adatok'!$H$36</f>
        <v>107.50431710208179</v>
      </c>
      <c r="H21" s="9">
        <f t="shared" si="3"/>
        <v>107.50431710208179</v>
      </c>
      <c r="I21" s="106">
        <v>1</v>
      </c>
      <c r="J21" s="107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1389.2700072313551</v>
      </c>
      <c r="O21" s="12">
        <f t="shared" si="5"/>
        <v>1389.2700072313551</v>
      </c>
      <c r="P21" s="68"/>
      <c r="Q21" s="69"/>
      <c r="R21" s="69"/>
      <c r="S21" s="69"/>
      <c r="T21" s="70"/>
      <c r="U21" s="95"/>
      <c r="V21" s="96"/>
      <c r="W21" s="96"/>
      <c r="X21" s="96"/>
      <c r="Y21" s="97"/>
      <c r="Z21" s="147"/>
      <c r="AA21" s="147"/>
      <c r="AB21" s="148"/>
    </row>
    <row r="22" spans="1:28" ht="14.4" thickBot="1" x14ac:dyDescent="0.3">
      <c r="A22" s="102"/>
      <c r="B22" s="8" t="s">
        <v>25</v>
      </c>
      <c r="C22" s="78"/>
      <c r="D22" s="82"/>
      <c r="E22" s="104">
        <v>1</v>
      </c>
      <c r="F22" s="105"/>
      <c r="G22" s="36">
        <f>'havi adatok'!$H$36</f>
        <v>107.50431710208179</v>
      </c>
      <c r="H22" s="9">
        <f t="shared" si="3"/>
        <v>107.50431710208179</v>
      </c>
      <c r="I22" s="106">
        <v>1</v>
      </c>
      <c r="J22" s="107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1389.2700072313551</v>
      </c>
      <c r="O22" s="12">
        <f t="shared" si="5"/>
        <v>1389.2700072313551</v>
      </c>
      <c r="P22" s="68"/>
      <c r="Q22" s="69"/>
      <c r="R22" s="69"/>
      <c r="S22" s="69"/>
      <c r="T22" s="70"/>
      <c r="U22" s="95"/>
      <c r="V22" s="96"/>
      <c r="W22" s="96"/>
      <c r="X22" s="96"/>
      <c r="Y22" s="97"/>
      <c r="Z22" s="147"/>
      <c r="AA22" s="147"/>
      <c r="AB22" s="148"/>
    </row>
    <row r="23" spans="1:28" ht="14.4" thickBot="1" x14ac:dyDescent="0.3">
      <c r="A23" s="103"/>
      <c r="B23" s="8" t="s">
        <v>26</v>
      </c>
      <c r="C23" s="78"/>
      <c r="D23" s="82"/>
      <c r="E23" s="104">
        <v>1</v>
      </c>
      <c r="F23" s="105"/>
      <c r="G23" s="36">
        <f>'havi adatok'!$H$36</f>
        <v>107.50431710208179</v>
      </c>
      <c r="H23" s="9">
        <f t="shared" si="3"/>
        <v>107.50431710208179</v>
      </c>
      <c r="I23" s="106">
        <v>1</v>
      </c>
      <c r="J23" s="107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1389.2700072313551</v>
      </c>
      <c r="O23" s="12">
        <f t="shared" si="5"/>
        <v>1389.2700072313551</v>
      </c>
      <c r="P23" s="68"/>
      <c r="Q23" s="69"/>
      <c r="R23" s="69"/>
      <c r="S23" s="69"/>
      <c r="T23" s="70"/>
      <c r="U23" s="95"/>
      <c r="V23" s="96"/>
      <c r="W23" s="96"/>
      <c r="X23" s="96"/>
      <c r="Y23" s="97"/>
      <c r="Z23" s="147"/>
      <c r="AA23" s="147"/>
      <c r="AB23" s="148"/>
    </row>
    <row r="24" spans="1:28" ht="14.4" thickBot="1" x14ac:dyDescent="0.3">
      <c r="A24" s="15" t="s">
        <v>27</v>
      </c>
      <c r="B24" s="8"/>
      <c r="C24" s="78"/>
      <c r="D24" s="82"/>
      <c r="E24" s="104">
        <v>2</v>
      </c>
      <c r="F24" s="105"/>
      <c r="G24" s="36">
        <f>'havi adatok'!$H$36</f>
        <v>107.50431710208179</v>
      </c>
      <c r="H24" s="9">
        <f t="shared" si="3"/>
        <v>215.00863420416357</v>
      </c>
      <c r="I24" s="106">
        <v>1</v>
      </c>
      <c r="J24" s="107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1389.2700072313551</v>
      </c>
      <c r="O24" s="12">
        <f t="shared" si="5"/>
        <v>1389.2700072313551</v>
      </c>
      <c r="P24" s="68"/>
      <c r="Q24" s="69"/>
      <c r="R24" s="69"/>
      <c r="S24" s="69"/>
      <c r="T24" s="70"/>
      <c r="U24" s="95"/>
      <c r="V24" s="96"/>
      <c r="W24" s="96"/>
      <c r="X24" s="96"/>
      <c r="Y24" s="97"/>
      <c r="Z24" s="147"/>
      <c r="AA24" s="147"/>
      <c r="AB24" s="148"/>
    </row>
    <row r="25" spans="1:28" ht="27" thickBot="1" x14ac:dyDescent="0.3">
      <c r="A25" s="101" t="s">
        <v>28</v>
      </c>
      <c r="B25" s="14" t="s">
        <v>29</v>
      </c>
      <c r="C25" s="78"/>
      <c r="D25" s="82"/>
      <c r="E25" s="104">
        <v>2</v>
      </c>
      <c r="F25" s="105"/>
      <c r="G25" s="36">
        <f>'havi adatok'!$H$36</f>
        <v>107.50431710208179</v>
      </c>
      <c r="H25" s="9">
        <f t="shared" si="3"/>
        <v>215.00863420416357</v>
      </c>
      <c r="I25" s="106">
        <v>1</v>
      </c>
      <c r="J25" s="107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1389.2700072313551</v>
      </c>
      <c r="O25" s="12">
        <f t="shared" si="5"/>
        <v>1389.2700072313551</v>
      </c>
      <c r="P25" s="68"/>
      <c r="Q25" s="69"/>
      <c r="R25" s="69"/>
      <c r="S25" s="69"/>
      <c r="T25" s="70"/>
      <c r="U25" s="95"/>
      <c r="V25" s="96"/>
      <c r="W25" s="96"/>
      <c r="X25" s="96"/>
      <c r="Y25" s="97"/>
      <c r="Z25" s="147"/>
      <c r="AA25" s="147"/>
      <c r="AB25" s="148"/>
    </row>
    <row r="26" spans="1:28" ht="14.4" thickBot="1" x14ac:dyDescent="0.3">
      <c r="A26" s="102"/>
      <c r="B26" s="8" t="s">
        <v>30</v>
      </c>
      <c r="C26" s="78"/>
      <c r="D26" s="82"/>
      <c r="E26" s="104">
        <v>2</v>
      </c>
      <c r="F26" s="105"/>
      <c r="G26" s="36">
        <f>'havi adatok'!$H$36</f>
        <v>107.50431710208179</v>
      </c>
      <c r="H26" s="9">
        <f t="shared" si="3"/>
        <v>215.00863420416357</v>
      </c>
      <c r="I26" s="106">
        <v>1.5</v>
      </c>
      <c r="J26" s="107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1389.2700072313551</v>
      </c>
      <c r="O26" s="12">
        <f t="shared" si="5"/>
        <v>2083.9050108470328</v>
      </c>
      <c r="P26" s="68"/>
      <c r="Q26" s="69"/>
      <c r="R26" s="69"/>
      <c r="S26" s="69"/>
      <c r="T26" s="70"/>
      <c r="U26" s="95"/>
      <c r="V26" s="96"/>
      <c r="W26" s="96"/>
      <c r="X26" s="96"/>
      <c r="Y26" s="97"/>
      <c r="Z26" s="147"/>
      <c r="AA26" s="147"/>
      <c r="AB26" s="148"/>
    </row>
    <row r="27" spans="1:28" ht="14.4" thickBot="1" x14ac:dyDescent="0.3">
      <c r="A27" s="103"/>
      <c r="B27" s="8" t="s">
        <v>31</v>
      </c>
      <c r="C27" s="78"/>
      <c r="D27" s="82"/>
      <c r="E27" s="108">
        <v>300</v>
      </c>
      <c r="F27" s="109"/>
      <c r="G27" s="36">
        <f>'havi adatok'!$H$36</f>
        <v>107.50431710208179</v>
      </c>
      <c r="H27" s="6">
        <f t="shared" ref="H27" si="7">G27*E27</f>
        <v>32251.295130624534</v>
      </c>
      <c r="I27" s="110">
        <v>4</v>
      </c>
      <c r="J27" s="111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1389.2700072313551</v>
      </c>
      <c r="O27" s="6">
        <f t="shared" ref="O27" si="9">N27*M27</f>
        <v>5557.0800289254203</v>
      </c>
      <c r="P27" s="68"/>
      <c r="Q27" s="69"/>
      <c r="R27" s="69"/>
      <c r="S27" s="69"/>
      <c r="T27" s="70"/>
      <c r="U27" s="95"/>
      <c r="V27" s="96"/>
      <c r="W27" s="96"/>
      <c r="X27" s="96"/>
      <c r="Y27" s="97"/>
      <c r="Z27" s="147"/>
      <c r="AA27" s="147"/>
      <c r="AB27" s="148"/>
    </row>
    <row r="28" spans="1:28" ht="14.4" thickBot="1" x14ac:dyDescent="0.3">
      <c r="A28" s="15" t="s">
        <v>32</v>
      </c>
      <c r="B28" s="78" t="s">
        <v>33</v>
      </c>
      <c r="C28" s="79"/>
      <c r="D28" s="79"/>
      <c r="E28" s="79"/>
      <c r="F28" s="79"/>
      <c r="G28" s="79"/>
      <c r="H28" s="79"/>
      <c r="I28" s="79"/>
      <c r="J28" s="80"/>
      <c r="K28" s="81"/>
      <c r="L28" s="82"/>
      <c r="M28" s="5"/>
      <c r="N28" s="78"/>
      <c r="O28" s="82"/>
      <c r="P28" s="71"/>
      <c r="Q28" s="72"/>
      <c r="R28" s="72"/>
      <c r="S28" s="72"/>
      <c r="T28" s="73"/>
      <c r="U28" s="98"/>
      <c r="V28" s="99"/>
      <c r="W28" s="99"/>
      <c r="X28" s="99"/>
      <c r="Y28" s="100"/>
      <c r="Z28" s="149"/>
      <c r="AA28" s="149"/>
      <c r="AB28" s="150"/>
    </row>
    <row r="29" spans="1:28" ht="14.4" thickBot="1" x14ac:dyDescent="0.3">
      <c r="A29" s="83" t="s">
        <v>34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5"/>
    </row>
    <row r="30" spans="1:28" x14ac:dyDescent="0.25">
      <c r="A30" s="86" t="s">
        <v>35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8"/>
    </row>
    <row r="31" spans="1:28" ht="14.4" thickBot="1" x14ac:dyDescent="0.3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</row>
    <row r="32" spans="1:28" ht="15" customHeight="1" x14ac:dyDescent="0.25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1"/>
  <sheetViews>
    <sheetView zoomScaleNormal="100" zoomScaleSheetLayoutView="100" workbookViewId="0">
      <selection activeCell="S27" sqref="S27"/>
    </sheetView>
  </sheetViews>
  <sheetFormatPr defaultColWidth="9.109375" defaultRowHeight="12" x14ac:dyDescent="0.25"/>
  <cols>
    <col min="1" max="1" width="33.5546875" style="30" bestFit="1" customWidth="1"/>
    <col min="2" max="2" width="16.109375" style="30" bestFit="1" customWidth="1"/>
    <col min="3" max="3" width="16.33203125" style="30" bestFit="1" customWidth="1"/>
    <col min="4" max="4" width="14" style="30" bestFit="1" customWidth="1"/>
    <col min="5" max="5" width="14.6640625" style="30" bestFit="1" customWidth="1"/>
    <col min="6" max="6" width="17.109375" style="30" bestFit="1" customWidth="1"/>
    <col min="7" max="7" width="14" style="30" bestFit="1" customWidth="1"/>
    <col min="8" max="8" width="13.109375" style="30" bestFit="1" customWidth="1"/>
    <col min="9" max="10" width="12.109375" style="30" bestFit="1" customWidth="1"/>
    <col min="11" max="14" width="11.109375" style="30" bestFit="1" customWidth="1"/>
    <col min="15" max="15" width="12.6640625" style="30" bestFit="1" customWidth="1"/>
    <col min="16" max="17" width="9.109375" style="30"/>
    <col min="18" max="18" width="14" style="30" bestFit="1" customWidth="1"/>
    <col min="19" max="19" width="10.5546875" style="30" bestFit="1" customWidth="1"/>
    <col min="20" max="16384" width="9.109375" style="30"/>
  </cols>
  <sheetData>
    <row r="1" spans="1:18" x14ac:dyDescent="0.25">
      <c r="A1" s="154" t="s">
        <v>53</v>
      </c>
      <c r="B1" s="154"/>
      <c r="C1" s="154"/>
      <c r="D1" s="154"/>
      <c r="E1" s="21"/>
      <c r="F1" s="21"/>
    </row>
    <row r="2" spans="1:18" x14ac:dyDescent="0.25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8" x14ac:dyDescent="0.25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8" x14ac:dyDescent="0.25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8" x14ac:dyDescent="0.25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8" x14ac:dyDescent="0.25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8" x14ac:dyDescent="0.25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9" spans="1:18" hidden="1" x14ac:dyDescent="0.25"/>
    <row r="10" spans="1:18" hidden="1" x14ac:dyDescent="0.25">
      <c r="C10" s="26" t="s">
        <v>42</v>
      </c>
      <c r="D10" s="26" t="s">
        <v>43</v>
      </c>
    </row>
    <row r="11" spans="1:18" hidden="1" x14ac:dyDescent="0.25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8" hidden="1" x14ac:dyDescent="0.25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8" hidden="1" x14ac:dyDescent="0.25"/>
    <row r="14" spans="1:18" hidden="1" x14ac:dyDescent="0.25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8" ht="14.4" x14ac:dyDescent="0.3">
      <c r="A15" s="155" t="s">
        <v>66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spans="1:18" ht="15.6" x14ac:dyDescent="0.25">
      <c r="A16" s="156" t="s">
        <v>54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46" t="s">
        <v>62</v>
      </c>
      <c r="R16" s="30" t="s">
        <v>63</v>
      </c>
    </row>
    <row r="17" spans="1:19" x14ac:dyDescent="0.25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  <c r="R17" s="38"/>
    </row>
    <row r="18" spans="1:19" x14ac:dyDescent="0.25">
      <c r="A18" s="39" t="s">
        <v>41</v>
      </c>
      <c r="B18" s="40">
        <v>2025</v>
      </c>
      <c r="C18" s="41">
        <v>298712216</v>
      </c>
      <c r="D18" s="41">
        <v>272541697</v>
      </c>
      <c r="E18" s="41">
        <v>300885177</v>
      </c>
      <c r="F18" s="41">
        <v>299927424</v>
      </c>
      <c r="G18" s="41">
        <v>304179140</v>
      </c>
      <c r="H18" s="41">
        <v>361168300</v>
      </c>
      <c r="I18" s="41">
        <v>370650436</v>
      </c>
      <c r="J18" s="41">
        <v>366348105</v>
      </c>
      <c r="K18" s="41"/>
      <c r="L18" s="41"/>
      <c r="M18" s="41"/>
      <c r="N18" s="41"/>
      <c r="O18" s="41">
        <f>SUM(C18:N18)</f>
        <v>2574412495</v>
      </c>
      <c r="P18" s="54">
        <f>O18/C4</f>
        <v>0.5414218826304189</v>
      </c>
      <c r="R18" s="41"/>
    </row>
    <row r="19" spans="1:19" x14ac:dyDescent="0.25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108051088</v>
      </c>
      <c r="H19" s="41">
        <v>65264100</v>
      </c>
      <c r="I19" s="41">
        <v>67062278</v>
      </c>
      <c r="J19" s="41">
        <v>66717706</v>
      </c>
      <c r="K19" s="41"/>
      <c r="L19" s="41"/>
      <c r="M19" s="41"/>
      <c r="N19" s="41"/>
      <c r="O19" s="41">
        <f t="shared" ref="O19" si="2">SUM(C19:N19)</f>
        <v>1293881176</v>
      </c>
      <c r="P19" s="54">
        <f>O19/C5</f>
        <v>0.64526903511805533</v>
      </c>
      <c r="R19" s="41">
        <f>10286425.8*1.27+S19*J28</f>
        <v>51808211.465999998</v>
      </c>
      <c r="S19" s="28">
        <f>7.3</f>
        <v>7.3</v>
      </c>
    </row>
    <row r="20" spans="1:19" x14ac:dyDescent="0.25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8665751</v>
      </c>
      <c r="K20" s="41"/>
      <c r="L20" s="41"/>
      <c r="M20" s="41"/>
      <c r="N20" s="41"/>
      <c r="O20" s="41">
        <f t="shared" ref="O20" si="3">SUM(C20:N20)</f>
        <v>194727690</v>
      </c>
      <c r="P20" s="54">
        <f t="shared" ref="P20:P21" si="4">O20/C6</f>
        <v>0.66367086703664313</v>
      </c>
      <c r="R20" s="41"/>
    </row>
    <row r="21" spans="1:19" x14ac:dyDescent="0.25">
      <c r="A21" s="42" t="s">
        <v>7</v>
      </c>
      <c r="B21" s="40">
        <v>2025</v>
      </c>
      <c r="C21" s="41">
        <v>38797141.479999997</v>
      </c>
      <c r="D21" s="41">
        <v>27248999.199999999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28803478.880000003</v>
      </c>
      <c r="K21" s="41"/>
      <c r="L21" s="41"/>
      <c r="M21" s="41"/>
      <c r="N21" s="41"/>
      <c r="O21" s="41">
        <f t="shared" ref="O21" si="5">SUM(C21:N21)</f>
        <v>257291457.56</v>
      </c>
      <c r="P21" s="54">
        <f t="shared" si="4"/>
        <v>0.7324728783441129</v>
      </c>
      <c r="R21" s="41"/>
    </row>
    <row r="22" spans="1:19" x14ac:dyDescent="0.25">
      <c r="A22" s="42" t="s">
        <v>8</v>
      </c>
      <c r="B22" s="40">
        <v>2025</v>
      </c>
      <c r="C22" s="41">
        <v>56231546.759999998</v>
      </c>
      <c r="D22" s="41">
        <v>41969183.560000002</v>
      </c>
      <c r="E22" s="41">
        <v>49810797.649999999</v>
      </c>
      <c r="F22" s="41">
        <v>47572618</v>
      </c>
      <c r="G22" s="41">
        <v>38557971</v>
      </c>
      <c r="H22" s="41">
        <v>28817627.759999998</v>
      </c>
      <c r="I22" s="41">
        <v>82831257.829999998</v>
      </c>
      <c r="J22" s="41">
        <v>9369310</v>
      </c>
      <c r="K22" s="41"/>
      <c r="L22" s="41"/>
      <c r="M22" s="41"/>
      <c r="N22" s="41"/>
      <c r="O22" s="41">
        <f t="shared" ref="O22" si="6">SUM(C22:N22)</f>
        <v>355160312.56</v>
      </c>
      <c r="P22" s="54">
        <f>O22/C3</f>
        <v>0.64029168386122726</v>
      </c>
      <c r="R22" s="41"/>
    </row>
    <row r="24" spans="1:19" x14ac:dyDescent="0.25">
      <c r="C24" s="18"/>
      <c r="D24" s="18"/>
      <c r="E24" s="18"/>
      <c r="F24" s="18"/>
      <c r="G24" s="18"/>
      <c r="H24" s="18"/>
      <c r="I24" s="18"/>
      <c r="J24" s="18"/>
      <c r="K24" s="18"/>
    </row>
    <row r="25" spans="1:19" ht="31.5" customHeight="1" x14ac:dyDescent="0.25">
      <c r="A25" s="156" t="s">
        <v>59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46" t="s">
        <v>62</v>
      </c>
    </row>
    <row r="26" spans="1:19" x14ac:dyDescent="0.25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  <c r="R26" s="38"/>
    </row>
    <row r="27" spans="1:19" x14ac:dyDescent="0.25">
      <c r="A27" s="39" t="s">
        <v>41</v>
      </c>
      <c r="B27" s="40">
        <v>2025</v>
      </c>
      <c r="C27" s="50">
        <v>3087340.699</v>
      </c>
      <c r="D27" s="50">
        <v>2791798.91</v>
      </c>
      <c r="E27" s="50">
        <v>2943364.5639999998</v>
      </c>
      <c r="F27" s="50">
        <v>2790192.199000001</v>
      </c>
      <c r="G27" s="50">
        <v>2826175.9939999995</v>
      </c>
      <c r="H27" s="50">
        <v>3359570.199</v>
      </c>
      <c r="I27" s="50">
        <v>3509706.2740000011</v>
      </c>
      <c r="J27" s="50">
        <v>3367670.324</v>
      </c>
      <c r="K27" s="50"/>
      <c r="L27" s="50"/>
      <c r="M27" s="50"/>
      <c r="N27" s="50"/>
      <c r="O27" s="50">
        <f>SUM(C27:N27)</f>
        <v>24675819.163000003</v>
      </c>
      <c r="P27" s="54">
        <f>O27/(B4)</f>
        <v>0.61041311159385403</v>
      </c>
      <c r="R27" s="50"/>
    </row>
    <row r="28" spans="1:19" x14ac:dyDescent="0.25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11042894</v>
      </c>
      <c r="H28" s="51">
        <v>5491438</v>
      </c>
      <c r="I28" s="51">
        <v>5344152</v>
      </c>
      <c r="J28" s="51">
        <v>5307459</v>
      </c>
      <c r="K28" s="51"/>
      <c r="L28" s="51"/>
      <c r="M28" s="51"/>
      <c r="N28" s="51"/>
      <c r="O28" s="51">
        <f t="shared" ref="O28" si="7">SUM(C28:N28)</f>
        <v>145137328</v>
      </c>
      <c r="P28" s="54">
        <f>O28/(B5*1000)</f>
        <v>0.64728365096526397</v>
      </c>
      <c r="R28" s="51">
        <v>5307459</v>
      </c>
      <c r="S28" s="30">
        <f>J28*'[1]2026 számoló tábla'!$G$19</f>
        <v>0</v>
      </c>
    </row>
    <row r="29" spans="1:19" x14ac:dyDescent="0.25">
      <c r="A29" s="39" t="s">
        <v>58</v>
      </c>
      <c r="B29" s="40">
        <v>2025</v>
      </c>
      <c r="C29" s="52">
        <v>5025.8359000000009</v>
      </c>
      <c r="D29" s="52">
        <v>4680.1179999999995</v>
      </c>
      <c r="E29" s="52">
        <v>3228.9580000000001</v>
      </c>
      <c r="F29" s="52">
        <v>1857.6119999999996</v>
      </c>
      <c r="G29" s="52">
        <v>818.96409999999992</v>
      </c>
      <c r="H29" s="52">
        <v>268.88</v>
      </c>
      <c r="I29" s="52">
        <v>296.3528</v>
      </c>
      <c r="J29" s="52">
        <v>269.26419999999712</v>
      </c>
      <c r="K29" s="52"/>
      <c r="L29" s="52"/>
      <c r="M29" s="52"/>
      <c r="N29" s="52"/>
      <c r="O29" s="52">
        <f t="shared" ref="O29" si="8">SUM(C29:N29)</f>
        <v>16445.984999999997</v>
      </c>
      <c r="P29" s="54">
        <f t="shared" ref="P29:P30" si="9">O29/(B6)</f>
        <v>0.65784621528679021</v>
      </c>
      <c r="R29" s="52"/>
    </row>
    <row r="30" spans="1:19" x14ac:dyDescent="0.25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34984</v>
      </c>
      <c r="K30" s="53"/>
      <c r="L30" s="53"/>
      <c r="M30" s="53"/>
      <c r="N30" s="53"/>
      <c r="O30" s="53">
        <f t="shared" ref="O30" si="10">SUM(C30:N30)</f>
        <v>313867</v>
      </c>
      <c r="P30" s="54">
        <f t="shared" si="9"/>
        <v>0.71966716193411107</v>
      </c>
      <c r="R30" s="53"/>
    </row>
    <row r="31" spans="1:19" x14ac:dyDescent="0.25">
      <c r="A31" s="39" t="s">
        <v>8</v>
      </c>
      <c r="B31" s="40">
        <v>2025</v>
      </c>
      <c r="C31" s="53">
        <v>45590.8</v>
      </c>
      <c r="D31" s="53">
        <v>32925.369999999995</v>
      </c>
      <c r="E31" s="53">
        <v>39502.300000000003</v>
      </c>
      <c r="F31" s="53">
        <v>36491</v>
      </c>
      <c r="G31" s="53">
        <v>29267.91</v>
      </c>
      <c r="H31" s="53">
        <v>20743</v>
      </c>
      <c r="I31" s="53">
        <v>64933</v>
      </c>
      <c r="J31" s="53">
        <v>7231</v>
      </c>
      <c r="K31" s="53"/>
      <c r="L31" s="53"/>
      <c r="M31" s="53"/>
      <c r="N31" s="53"/>
      <c r="O31" s="53">
        <f t="shared" ref="O31" si="11">SUM(C31:N31)</f>
        <v>276684.38</v>
      </c>
      <c r="P31" s="54">
        <f>O31/(B3)</f>
        <v>0.63008687810421271</v>
      </c>
      <c r="R31" s="53"/>
    </row>
    <row r="34" spans="1:18" ht="18" x14ac:dyDescent="0.25">
      <c r="A34" s="153" t="s">
        <v>60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46" t="s">
        <v>62</v>
      </c>
    </row>
    <row r="35" spans="1:18" x14ac:dyDescent="0.25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  <c r="R35" s="38"/>
    </row>
    <row r="36" spans="1:18" x14ac:dyDescent="0.25">
      <c r="A36" s="39" t="s">
        <v>41</v>
      </c>
      <c r="B36" s="40">
        <v>2025</v>
      </c>
      <c r="C36" s="47">
        <f t="shared" ref="C36:H36" si="12">C18/C27</f>
        <v>96.753887932340575</v>
      </c>
      <c r="D36" s="47">
        <f t="shared" si="12"/>
        <v>97.622252098379107</v>
      </c>
      <c r="E36" s="47">
        <f t="shared" si="12"/>
        <v>102.22490977845449</v>
      </c>
      <c r="F36" s="47">
        <f t="shared" si="12"/>
        <v>107.4934637504518</v>
      </c>
      <c r="G36" s="47">
        <f t="shared" si="12"/>
        <v>107.62922784914153</v>
      </c>
      <c r="H36" s="47">
        <f t="shared" si="12"/>
        <v>107.50431710208179</v>
      </c>
      <c r="I36" s="47">
        <f t="shared" ref="I36:N40" si="13">IFERROR(I18/I27,"")</f>
        <v>105.60725230649312</v>
      </c>
      <c r="J36" s="47">
        <f t="shared" si="13"/>
        <v>108.78383860474342</v>
      </c>
      <c r="K36" s="47" t="str">
        <f t="shared" si="13"/>
        <v/>
      </c>
      <c r="L36" s="47" t="str">
        <f t="shared" si="13"/>
        <v/>
      </c>
      <c r="M36" s="47" t="str">
        <f t="shared" si="13"/>
        <v/>
      </c>
      <c r="N36" s="47" t="str">
        <f t="shared" si="13"/>
        <v/>
      </c>
      <c r="O36" s="47">
        <f>O18/O27</f>
        <v>104.3293630089568</v>
      </c>
      <c r="R36" s="47"/>
    </row>
    <row r="37" spans="1:18" x14ac:dyDescent="0.25">
      <c r="A37" s="39" t="s">
        <v>57</v>
      </c>
      <c r="B37" s="40">
        <v>2025</v>
      </c>
      <c r="C37" s="48">
        <f t="shared" ref="C37:J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9784.6713008383485</v>
      </c>
      <c r="H37" s="48">
        <f t="shared" si="14"/>
        <v>11884.70123854626</v>
      </c>
      <c r="I37" s="48">
        <f t="shared" si="14"/>
        <v>12548.722042337118</v>
      </c>
      <c r="J37" s="48">
        <f t="shared" si="14"/>
        <v>12570.555137590323</v>
      </c>
      <c r="K37" s="48" t="str">
        <f t="shared" si="13"/>
        <v/>
      </c>
      <c r="L37" s="48" t="str">
        <f t="shared" si="13"/>
        <v/>
      </c>
      <c r="M37" s="48" t="str">
        <f t="shared" si="13"/>
        <v/>
      </c>
      <c r="N37" s="48" t="str">
        <f t="shared" si="13"/>
        <v/>
      </c>
      <c r="O37" s="48">
        <f>O19/O28*1000</f>
        <v>8914.8752690279653</v>
      </c>
      <c r="R37" s="48">
        <f t="shared" ref="R37" si="15">R19/R28*1000</f>
        <v>9761.3964546876377</v>
      </c>
    </row>
    <row r="38" spans="1:18" x14ac:dyDescent="0.25">
      <c r="A38" s="39" t="s">
        <v>58</v>
      </c>
      <c r="B38" s="40">
        <v>2025</v>
      </c>
      <c r="C38" s="48">
        <f t="shared" ref="C38:H40" si="16">C20/C29</f>
        <v>9994.7803707637941</v>
      </c>
      <c r="D38" s="48">
        <f t="shared" si="16"/>
        <v>10054.456960273224</v>
      </c>
      <c r="E38" s="48">
        <f t="shared" si="16"/>
        <v>10725.124947428862</v>
      </c>
      <c r="F38" s="48">
        <f t="shared" si="16"/>
        <v>12449.608421995554</v>
      </c>
      <c r="G38" s="48">
        <f t="shared" si="16"/>
        <v>16424.061811744865</v>
      </c>
      <c r="H38" s="48">
        <f t="shared" si="16"/>
        <v>32216.036893781613</v>
      </c>
      <c r="I38" s="48">
        <f t="shared" si="13"/>
        <v>30042.850953323203</v>
      </c>
      <c r="J38" s="48">
        <f t="shared" si="13"/>
        <v>32183.078923971672</v>
      </c>
      <c r="K38" s="48" t="str">
        <f t="shared" si="13"/>
        <v/>
      </c>
      <c r="L38" s="48" t="str">
        <f t="shared" si="13"/>
        <v/>
      </c>
      <c r="M38" s="48" t="str">
        <f t="shared" si="13"/>
        <v/>
      </c>
      <c r="N38" s="48" t="str">
        <f t="shared" si="13"/>
        <v/>
      </c>
      <c r="O38" s="48">
        <f>O20/O29</f>
        <v>11840.439475045127</v>
      </c>
      <c r="R38" s="48"/>
    </row>
    <row r="39" spans="1:18" x14ac:dyDescent="0.25">
      <c r="A39" s="39" t="s">
        <v>7</v>
      </c>
      <c r="B39" s="40">
        <v>2025</v>
      </c>
      <c r="C39" s="49">
        <f t="shared" si="16"/>
        <v>784.65247203963997</v>
      </c>
      <c r="D39" s="49">
        <f t="shared" si="16"/>
        <v>809.0557957244655</v>
      </c>
      <c r="E39" s="49">
        <f t="shared" si="16"/>
        <v>824.67294353388479</v>
      </c>
      <c r="F39" s="49">
        <f t="shared" si="16"/>
        <v>832.20414771206845</v>
      </c>
      <c r="G39" s="49">
        <f t="shared" si="16"/>
        <v>837.08015340982342</v>
      </c>
      <c r="H39" s="49">
        <f t="shared" si="16"/>
        <v>871.45118949958987</v>
      </c>
      <c r="I39" s="49">
        <f t="shared" si="13"/>
        <v>814.33623593815798</v>
      </c>
      <c r="J39" s="49">
        <f t="shared" si="13"/>
        <v>823.33292019208784</v>
      </c>
      <c r="K39" s="49" t="str">
        <f t="shared" si="13"/>
        <v/>
      </c>
      <c r="L39" s="49" t="str">
        <f t="shared" si="13"/>
        <v/>
      </c>
      <c r="M39" s="49" t="str">
        <f t="shared" si="13"/>
        <v/>
      </c>
      <c r="N39" s="49" t="str">
        <f t="shared" si="13"/>
        <v/>
      </c>
      <c r="O39" s="49">
        <f>O21/O30</f>
        <v>819.7467639477868</v>
      </c>
      <c r="R39" s="49"/>
    </row>
    <row r="40" spans="1:18" x14ac:dyDescent="0.25">
      <c r="A40" s="39" t="s">
        <v>8</v>
      </c>
      <c r="B40" s="40">
        <v>2025</v>
      </c>
      <c r="C40" s="49">
        <f t="shared" si="16"/>
        <v>1233.3967984768856</v>
      </c>
      <c r="D40" s="49">
        <f t="shared" si="16"/>
        <v>1274.6761406174026</v>
      </c>
      <c r="E40" s="49">
        <f t="shared" si="16"/>
        <v>1260.9594289446436</v>
      </c>
      <c r="F40" s="49">
        <f t="shared" si="16"/>
        <v>1303.6808528130223</v>
      </c>
      <c r="G40" s="49">
        <f t="shared" si="16"/>
        <v>1317.4145676954727</v>
      </c>
      <c r="H40" s="49">
        <f t="shared" si="16"/>
        <v>1389.2700072313551</v>
      </c>
      <c r="I40" s="49">
        <f t="shared" si="13"/>
        <v>1275.6419359955646</v>
      </c>
      <c r="J40" s="49">
        <f t="shared" si="13"/>
        <v>1295.7142857142858</v>
      </c>
      <c r="K40" s="49" t="str">
        <f t="shared" si="13"/>
        <v/>
      </c>
      <c r="L40" s="49" t="str">
        <f t="shared" si="13"/>
        <v/>
      </c>
      <c r="M40" s="49" t="str">
        <f t="shared" si="13"/>
        <v/>
      </c>
      <c r="N40" s="49" t="str">
        <f t="shared" si="13"/>
        <v/>
      </c>
      <c r="O40" s="49">
        <f>O22/O31</f>
        <v>1283.6297898710436</v>
      </c>
      <c r="R40" s="49"/>
    </row>
    <row r="41" spans="1:18" x14ac:dyDescent="0.25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</sheetData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1FDA6-44FC-4D60-AA17-365E7D87A120}">
  <ds:schemaRefs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2025_08 hó</vt:lpstr>
      <vt:lpstr>2025_06 hó</vt:lpstr>
      <vt:lpstr>havi adatok</vt:lpstr>
      <vt:lpstr>'2025_06 hó'!Nyomtatási_terület</vt:lpstr>
      <vt:lpstr>'2025_08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Fehér Nikolett (adminisztratív ügyintéző)</cp:lastModifiedBy>
  <cp:lastPrinted>2025-08-28T13:54:02Z</cp:lastPrinted>
  <dcterms:created xsi:type="dcterms:W3CDTF">2021-05-31T13:31:58Z</dcterms:created>
  <dcterms:modified xsi:type="dcterms:W3CDTF">2025-09-30T11:50:11Z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