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semmelweis.sharepoint.com/sites/PKFIHIIG/Megosztott dokumentumok/PKHI/Pályázatok/..-1.2.3-HU-RIZONT/2026/Segédletek/"/>
    </mc:Choice>
  </mc:AlternateContent>
  <xr:revisionPtr revIDLastSave="7" documentId="8_{C6016CE4-D145-4856-9858-5F34992972D5}" xr6:coauthVersionLast="47" xr6:coauthVersionMax="47" xr10:uidLastSave="{19014985-853F-4A63-8F7C-9A72D93933A0}"/>
  <bookViews>
    <workbookView xWindow="28680" yWindow="-120" windowWidth="29040" windowHeight="15720" activeTab="2" xr2:uid="{55B4B558-FF2A-4F2A-8FC0-41AB1B4424D2}"/>
  </bookViews>
  <sheets>
    <sheet name="Költségvetés_tervező" sheetId="2" r:id="rId1"/>
    <sheet name="pénzügyi ütemezés" sheetId="4" r:id="rId2"/>
    <sheet name="Segédle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/>
  <c r="G16" i="4"/>
  <c r="F13" i="4"/>
  <c r="E13" i="4"/>
  <c r="D13" i="4"/>
  <c r="E3" i="4"/>
  <c r="D3" i="4"/>
  <c r="D10" i="4" s="1"/>
  <c r="F3" i="4"/>
  <c r="F10" i="4" s="1"/>
  <c r="D4" i="4"/>
  <c r="E4" i="4"/>
  <c r="F4" i="4"/>
  <c r="F5" i="4"/>
  <c r="E5" i="4"/>
  <c r="D5" i="4"/>
  <c r="D12" i="4"/>
  <c r="H16" i="4" l="1"/>
  <c r="G12" i="4"/>
  <c r="H12" i="4" s="1"/>
  <c r="F11" i="4"/>
  <c r="E11" i="4"/>
  <c r="D11" i="4"/>
  <c r="E10" i="4"/>
  <c r="G3" i="4" l="1"/>
  <c r="G4" i="2"/>
  <c r="G6" i="2"/>
  <c r="G9" i="2"/>
  <c r="G11" i="2"/>
  <c r="G15" i="2"/>
  <c r="H11" i="2"/>
  <c r="H15" i="2"/>
  <c r="H9" i="2"/>
  <c r="H6" i="2"/>
  <c r="H4" i="2"/>
  <c r="D6" i="2" l="1"/>
  <c r="D11" i="2" s="1"/>
  <c r="G5" i="2"/>
  <c r="H5" i="2"/>
  <c r="H3" i="4" l="1"/>
  <c r="F15" i="4"/>
  <c r="F18" i="4" s="1"/>
  <c r="E15" i="4"/>
  <c r="E18" i="4" s="1"/>
  <c r="E11" i="2" l="1"/>
  <c r="D15" i="4"/>
  <c r="G15" i="4" s="1"/>
  <c r="H15" i="4" s="1"/>
  <c r="D5" i="2"/>
  <c r="F15" i="2" s="1"/>
  <c r="F11" i="2"/>
  <c r="F9" i="2"/>
  <c r="F4" i="2"/>
  <c r="E9" i="2"/>
  <c r="E8" i="2"/>
  <c r="E7" i="2"/>
  <c r="E4" i="2"/>
  <c r="F6" i="2"/>
  <c r="E6" i="2"/>
  <c r="E3" i="2" l="1"/>
  <c r="F3" i="2" s="1" a="1"/>
  <c r="F3" i="2" s="1"/>
  <c r="F5" i="2"/>
  <c r="E5" i="2"/>
  <c r="D18" i="4"/>
  <c r="G18" i="4" s="1"/>
  <c r="H1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<sst xmlns="http://schemas.openxmlformats.org/spreadsheetml/2006/main" count="94" uniqueCount="92">
  <si>
    <t xml:space="preserve">A Semmelweis Egyetem elszámolható költségeinek köre </t>
  </si>
  <si>
    <t>Összesen Támogatás</t>
  </si>
  <si>
    <t>Anyagköltség</t>
  </si>
  <si>
    <t>Igénybe vett szolgáltatás</t>
  </si>
  <si>
    <t>Kutatás fejlesztési projektet támogató tevékenységek a személyi jellegű költségek pontosan 20%-a</t>
  </si>
  <si>
    <t>Nyilvánosság biztosításához kapcsolódó költség (Tájékoztatás);</t>
  </si>
  <si>
    <t>Iparjogvédelmi költség;</t>
  </si>
  <si>
    <t>Általános költség</t>
  </si>
  <si>
    <t>Közbeszerzés</t>
  </si>
  <si>
    <t>Publikációs költségek, Article Processing Charge (APC)</t>
  </si>
  <si>
    <t>Piacra jutáshoz kapcsolódó költség</t>
  </si>
  <si>
    <t>Kiállítás/konferencia részvételi költsége</t>
  </si>
  <si>
    <t>Utazáshoz kapcsolódó tevékenység</t>
  </si>
  <si>
    <t>Minimum igényelhető támogatás</t>
  </si>
  <si>
    <t>Maximum igényelhető támogatás</t>
  </si>
  <si>
    <t>Maximum 30%</t>
  </si>
  <si>
    <t>Minimum 70%</t>
  </si>
  <si>
    <t>Semmelweis Egyetem által meghatározott arány</t>
  </si>
  <si>
    <t>MAX 22%</t>
  </si>
  <si>
    <t>MAX 3%</t>
  </si>
  <si>
    <t>MIN 5%</t>
  </si>
  <si>
    <t>Anyagköltségként közvetlenül a projekt megvalósításához vásárolt anyagok költségei 
számolhatóak el.</t>
  </si>
  <si>
    <t xml:space="preserve">A Programmal kapcsolatosan megvalósításra kerülő projektben a beszerzésekre a közbeszerzésekről szóló 2015. évi CXLIII. törvény (a továbbiban: Kbt.) előírásai alkalmazandók.
A költségtétel alátámasztására 3 db (a kutatás-fejlesztési támogatási kategória 
keretében nyújtott támogatás esetében igénybevett szolgáltatás vonatkozásában 1 db) érvényes árajánlat beszerzése szükséges a támogatási kérelem benyújtásáig. </t>
  </si>
  <si>
    <t>MIN 40%</t>
  </si>
  <si>
    <t xml:space="preserve">Személyi jellegű ráfordítások
</t>
  </si>
  <si>
    <t>Szervezeti egység által igényelt támogatás
(TÖLTENDŐ)</t>
  </si>
  <si>
    <t>Külföldi partnerekkel kötött kutatás fejlesztésére irányuló alvállalkozói vagy megbízási szerződés összege 
(minimum két külföldi partnerrel összefüggésben, kötelező
költségsort rögzíteni, illetve költséget elszámolni 52. Igénybevett szolgáltatásként feltüntetve)</t>
  </si>
  <si>
    <t>HU-RIZONT Nemzetközi Kiválósági Kutatási Együttműködési Program - SE Költségvetés tervező</t>
  </si>
  <si>
    <r>
      <rPr>
        <u/>
        <sz val="8"/>
        <color theme="1"/>
        <rFont val="Calibri"/>
        <family val="2"/>
        <charset val="238"/>
        <scheme val="minor"/>
      </rPr>
      <t>54.-56. Bérköltség és járulék</t>
    </r>
    <r>
      <rPr>
        <sz val="8"/>
        <color theme="1"/>
        <rFont val="Calibri"/>
        <family val="2"/>
        <charset val="238"/>
        <scheme val="minor"/>
      </rPr>
      <t xml:space="preserve">: a projektben részt vevők munkaszerződés/kinevezési okirat szerinti bére vagy megbízási jogviszony esetén a megbízási szerződés alapján a megbízási díj, illetve a törvényesen járó szabadság és, betegszabadság és fizetett ünnep idejére járó juttatás számolható el.
Kiküldetés alatt elszámolhatók az utazáshoz kapcsolódó bérjellegű költségek.
</t>
    </r>
    <r>
      <rPr>
        <u/>
        <sz val="8"/>
        <color theme="1"/>
        <rFont val="Calibri"/>
        <family val="2"/>
        <charset val="238"/>
        <scheme val="minor"/>
      </rPr>
      <t>55. személyi jellegű egyéb kifizetések</t>
    </r>
    <r>
      <rPr>
        <sz val="8"/>
        <color theme="1"/>
        <rFont val="Calibri"/>
        <family val="2"/>
        <charset val="238"/>
        <scheme val="minor"/>
      </rPr>
      <t xml:space="preserve"> - A Szja tv. 71.§ (1) bekezdésében foglalt béren kívüli juttatások</t>
    </r>
  </si>
  <si>
    <t>Korlát figyelő</t>
  </si>
  <si>
    <t xml:space="preserve">Ellenőrző </t>
  </si>
  <si>
    <r>
      <rPr>
        <u/>
        <sz val="8"/>
        <color theme="1"/>
        <rFont val="Calibri"/>
        <family val="2"/>
        <charset val="238"/>
        <scheme val="minor"/>
      </rPr>
      <t>Projektmenedzser (0,5 FTE)</t>
    </r>
    <r>
      <rPr>
        <sz val="8"/>
        <color theme="1"/>
        <rFont val="Calibri"/>
        <family val="2"/>
        <charset val="238"/>
        <scheme val="minor"/>
      </rPr>
      <t>: teljes munkaidő esetén legfeljebb 1 100 000 Ft</t>
    </r>
  </si>
  <si>
    <r>
      <rPr>
        <i/>
        <sz val="8"/>
        <color theme="1"/>
        <rFont val="Calibri"/>
        <family val="2"/>
        <charset val="238"/>
        <scheme val="minor"/>
      </rPr>
      <t>Szakmai megvalósítók:</t>
    </r>
    <r>
      <rPr>
        <u/>
        <sz val="8"/>
        <color theme="1"/>
        <rFont val="Calibri"/>
        <family val="2"/>
        <charset val="238"/>
        <scheme val="minor"/>
      </rPr>
      <t xml:space="preserve">
Kutató fejlesztő munkatárs</t>
    </r>
    <r>
      <rPr>
        <sz val="8"/>
        <color theme="1"/>
        <rFont val="Calibri"/>
        <family val="2"/>
        <charset val="238"/>
        <scheme val="minor"/>
      </rPr>
      <t xml:space="preserve">: legfeljebb 1 900 000 Ft
</t>
    </r>
    <r>
      <rPr>
        <u/>
        <sz val="8"/>
        <color theme="1"/>
        <rFont val="Calibri"/>
        <family val="2"/>
        <charset val="238"/>
        <scheme val="minor"/>
      </rPr>
      <t>Technikus segédszemélyzet</t>
    </r>
    <r>
      <rPr>
        <sz val="8"/>
        <color theme="1"/>
        <rFont val="Calibri"/>
        <family val="2"/>
        <charset val="238"/>
        <scheme val="minor"/>
      </rPr>
      <t>: legfeljebb 900 000 Ft</t>
    </r>
  </si>
  <si>
    <t>Kizárólag a D oszlop szerkeszthető !!!</t>
  </si>
  <si>
    <t>Általános tudnivalók:</t>
  </si>
  <si>
    <t>A Támogatási kérelmet a www.palyazat.gov.hu oldalon keresztül elérhető on-line pályázati kitöltő program (EPTK) kitöltésével lehet benyújtani.</t>
  </si>
  <si>
    <t>Legalább 100 millió Ft, legfeljebb 400 millió Ft igényelhető, a támogatás vissza nem térítendő támogatásnak minősül.</t>
  </si>
  <si>
    <t>A projekt végrehajtására rendelkezésre álló időtartam minimum 24, maximum 36 hónap.</t>
  </si>
  <si>
    <t>A külföldi partnerekkel való együttműködés az alábbi formákban valósulhat meg: kutatás-fejlesztésre irányuló alvállalkozói vagy megbízási szerződés.</t>
  </si>
  <si>
    <t>A támogatási kérelemnek tartalmaznia kell:</t>
  </si>
  <si>
    <t>A támogatást igénylő felelőssége, hogy a munkaterv lényegre törő legyen, és az értékelő testületekben dolgozó, a tágabb szakterületet képviselő kutatók számára is jól követhető legyen a projekt újdonsága, relevanciája és a várható eredmények jelentősége.</t>
  </si>
  <si>
    <t>A támogatás formája vissza nem térítendő támogatás, melynek összege projektenként minimum 100 000 000 Ft, maximum 400 000 000 Ft.</t>
  </si>
  <si>
    <t>A projekt keretében a támogatást igénylőnek legalább két különböző országbeli kutató tudásközvetítő intézménnyel (tipikusan kutatóintézet vagy felsőoktatási intézmény) kell együttműködnie.</t>
  </si>
  <si>
    <t>Pénzügyi ütemterv</t>
  </si>
  <si>
    <t>Semmelweis Egyetem elszámolható költségei</t>
  </si>
  <si>
    <t>Személyi jellegű ráfordítások</t>
  </si>
  <si>
    <t>54. Bérköltség/ Projektmenedzser</t>
  </si>
  <si>
    <t>54. Bérköltség/ Szakmai megvalósító-Kutató fejlesztő munkatárs1</t>
  </si>
  <si>
    <t>54. Bérköltség/ Szakmai megvalósító-Kutató fejlesztő munkatárs2</t>
  </si>
  <si>
    <t>54. Bérköltség/ Technikussegédszemélyzet1</t>
  </si>
  <si>
    <t>54. Bérköltség/ Technikussegédszemélyzet2</t>
  </si>
  <si>
    <t>55. személyi jellegű egyéb kifizetések/ Projektmenedzser</t>
  </si>
  <si>
    <t>55. személyi jellegű egyéb kifizetések/ Szakmai megvalósítók</t>
  </si>
  <si>
    <t>56. Járulék költség/ Projektmenedzser</t>
  </si>
  <si>
    <t>56. Járulék költség/ Szakmai megvalósítók</t>
  </si>
  <si>
    <t>51. anyagköltség/ Piaci feltételek szerint harmadik féltől beszerzett, a támogatott tevékenységhez közvetlenül 
kapcsolódó anyagok költsége számolható el, a támogatott projektben felhasznált mértékig</t>
  </si>
  <si>
    <t>Igénybevett szolágltatások</t>
  </si>
  <si>
    <t>52. Igénybe vett szolgáltatások/ A Kbt.-t nem kell alkalmazni az uniós értékhatárt (nettó 84.609.850 Ft) el nem érő „kutatás-fejlesztési vagy innovációs tevékenység végzéséhez közvetlenül kapcsolódó, speciálisan az ilyen tevékenység megvalósítását szolgáló áruk és szolgáltatások beszerzésére” (Kbt. 111. § v) pontja)</t>
  </si>
  <si>
    <t>53. Egyéb szolgáltatások - A projekt keretében végzett tevékenységekhez szükséges hatósági díjak számolhatók el.</t>
  </si>
  <si>
    <t>Százalékos átalány/ a személyi jellegű költségek pontosan 20%-a</t>
  </si>
  <si>
    <t>Összesen évi bontásban:</t>
  </si>
  <si>
    <t>A költségvetés_tervező munkalap</t>
  </si>
  <si>
    <t>A pénzügyi ütemezés munkalap</t>
  </si>
  <si>
    <t>Projekt megvalósítás időszaka</t>
  </si>
  <si>
    <t>1 .év
(12 hó)</t>
  </si>
  <si>
    <t>2 .év
(12 hó)</t>
  </si>
  <si>
    <t>3 .év
(12 hó)</t>
  </si>
  <si>
    <t xml:space="preserve"> 52. Igénybevett szolgáltatás</t>
  </si>
  <si>
    <t>Kutatás-fejlesztési projektet támogató tevékenységek</t>
  </si>
  <si>
    <t>Költség részletes szöveges indoklása</t>
  </si>
  <si>
    <t>pl. 1 Kutatás fejlesztő munkatárs bérét kívánjuk elszámolni havi 1.900.000 Ft összegben 36 hónapra vetítve</t>
  </si>
  <si>
    <t>pl. 1 fő Projektmenedzser (1 FTE)36 hónapra vetítve, havi 1.040.000 Ft bérrel.</t>
  </si>
  <si>
    <t>pl. 1 Kutatás fejlesztő munkatárs bérét kívánjuk elszámolni havi 1.700.000 Ft összegben 36 hónapra vetítve</t>
  </si>
  <si>
    <t>Pl. 1 db Kutatás-fejlesztési szolgáltatási szerződés 3 részteljesítéssel (40-40-20%-os teljesítési ütemezéssel)</t>
  </si>
  <si>
    <t xml:space="preserve">Éves bontásban kérjük megadni a tervezett költségeket. </t>
  </si>
  <si>
    <t>A személyi jellegű költségek esetében személyenként kérjük a szöveges indoklás oszlopban jelölni az időszakot (mettől meddig) és mekkora a havi bérrel szeretnék elszámolni.</t>
  </si>
  <si>
    <t>Dologi költségek esetében kérjük a beszerzésre kerülű szolgáltatás vagy anyagköltség esetében meghatározni, hogy milyen szerződés keretében milyen részteljesítéssel lehet kalkulálni évente.</t>
  </si>
  <si>
    <t xml:space="preserve">A D oszlopot szükséges csak tölteni. Az elszámolható költségeket költségnemenként szükséges meghatározni mindösszesen minimum 24 maximum 36 hónapra vonatkozóan. A külföldi partnerek költségeit egyösszegben kérjük megadni a D4 cellában,  a pénzügyi ütemezés munkalapon van lehetőség Partnerenként és szolgáltatásonként részletezni. </t>
  </si>
  <si>
    <t>Külföldi partner 1  kötött kutatás fejlesztésére irányuló alvállalkozói vagy megbízási szerződés összege (minimum két külföldi partnerrel)</t>
  </si>
  <si>
    <t>Külföldi partner 2 kötött kutatás fejlesztésére irányuló alvállalkozói vagy megbízási szerződés összege (minimum két külföldi partnerrel)</t>
  </si>
  <si>
    <t>Külföldi partnerekkel kötött kutatás fejlesztésére irányuló alvállalkozói vagy megbízási szerződések esetében sorok beszúrhatóak, ha több szerződés kerül megkötésre Partnerenként.</t>
  </si>
  <si>
    <t>Kitöltési segédlet</t>
  </si>
  <si>
    <t>Mindösszesen</t>
  </si>
  <si>
    <t>36 hónapra</t>
  </si>
  <si>
    <t>Ellenőrző</t>
  </si>
  <si>
    <t>Csak a C,D,E,F oszlopat (sárgázott oszlopok) szükséges tölteni.</t>
  </si>
  <si>
    <t>KÓDSZÁM: 2026-4.1.2-HU-RIZONT</t>
  </si>
  <si>
    <r>
      <t xml:space="preserve">· a VI. számú melléklet (Angol nyelvű pályázati munkaterv - HU-rizont proposal template) -
</t>
    </r>
    <r>
      <rPr>
        <sz val="11"/>
        <color theme="1"/>
        <rFont val="Calibri"/>
        <family val="2"/>
        <charset val="238"/>
        <scheme val="minor"/>
      </rPr>
      <t>-a javasolt innovatív megoldás céljait, módszertanát, eljárását, a már létező megoldásoktól megkülönböztető jellegét,
-a támogatást igénylő és a legalább két együttműködő külföldi partner egymást kiegészítő kompetenciáit, a nemzetközi együttműködés indokoltságát,
-a várható magyar és nemzetközi szintű tudományos és társadalmi hatásokat,
-a projekt megvalósítását leíró munkatervet és a várható eredményeket,
-a magyar kutatásvezető kutatási és innovációs eredményeit,
-kutatási adatkezelési tervet</t>
    </r>
  </si>
  <si>
    <r>
      <t>·</t>
    </r>
    <r>
      <rPr>
        <b/>
        <i/>
        <sz val="11"/>
        <color theme="1"/>
        <rFont val="Calibri"/>
        <family val="2"/>
        <charset val="238"/>
        <scheme val="minor"/>
      </rPr>
      <t xml:space="preserve"> költségtervet és pénzügyi ütemezést.</t>
    </r>
    <r>
      <rPr>
        <b/>
        <i/>
        <sz val="11"/>
        <color theme="1"/>
        <rFont val="Symbol"/>
        <family val="1"/>
        <charset val="2"/>
      </rPr>
      <t xml:space="preserve"> </t>
    </r>
    <r>
      <rPr>
        <sz val="11"/>
        <color theme="1"/>
        <rFont val="Calibri"/>
        <family val="2"/>
        <charset val="238"/>
        <scheme val="minor"/>
      </rPr>
      <t>Egységes Beléptető Felületen szereplő „Költségek”)</t>
    </r>
  </si>
  <si>
    <r>
      <t xml:space="preserve">A projekt összköltségvetésének </t>
    </r>
    <r>
      <rPr>
        <i/>
        <u/>
        <sz val="11"/>
        <color theme="1"/>
        <rFont val="Calibri"/>
        <family val="2"/>
        <charset val="238"/>
        <scheme val="minor"/>
      </rPr>
      <t>maximum 50%-át teheti ki a külföldi partnerekkel</t>
    </r>
    <r>
      <rPr>
        <i/>
        <sz val="11"/>
        <color theme="1"/>
        <rFont val="Calibri"/>
        <family val="2"/>
        <charset val="238"/>
        <scheme val="minor"/>
      </rPr>
      <t xml:space="preserve"> kötött kutatás fejlesztésre irányuló alvállalkozói vagy megbízási szerződés(ek) összege, az összköltségvetésének </t>
    </r>
    <r>
      <rPr>
        <i/>
        <u/>
        <sz val="11"/>
        <color theme="1"/>
        <rFont val="Calibri"/>
        <family val="2"/>
        <charset val="238"/>
        <scheme val="minor"/>
      </rPr>
      <t>minimum 50%-át a támogatást igénylő (Befogadó intézmény) saját költségei</t>
    </r>
    <r>
      <rPr>
        <i/>
        <sz val="11"/>
        <color theme="1"/>
        <rFont val="Calibri"/>
        <family val="2"/>
        <charset val="238"/>
        <scheme val="minor"/>
      </rPr>
      <t xml:space="preserve">nek fedezésére kell fordítani. </t>
    </r>
  </si>
  <si>
    <r>
      <t xml:space="preserve">· </t>
    </r>
    <r>
      <rPr>
        <b/>
        <i/>
        <sz val="11"/>
        <color theme="1"/>
        <rFont val="Calibri"/>
        <family val="2"/>
        <charset val="238"/>
        <scheme val="minor"/>
      </rPr>
      <t>+15 százalékpontos többlet támogatásintenzitás</t>
    </r>
    <r>
      <rPr>
        <b/>
        <i/>
        <sz val="11"/>
        <color theme="1"/>
        <rFont val="Symbol"/>
        <family val="1"/>
        <charset val="2"/>
      </rPr>
      <t xml:space="preserve">: </t>
    </r>
    <r>
      <rPr>
        <sz val="11"/>
        <color theme="1"/>
        <rFont val="Calibri"/>
        <family val="2"/>
        <charset val="238"/>
        <scheme val="minor"/>
      </rPr>
      <t>akkor a disszememinációs kötelezettségének igazolását a
https://kiregiszter.nkfih.gov.hu honlapon kell teljesíteni, a Felhívás mellékletét képező K+F Disszeminációs Útmutató Nemzeti Kutatási, Fejlesztési és Innovációs Alapból Meghirdetett Felhívásokhoz (a továbbiakban: Disszeminációs Útmutató) dokumentumban foglaltak szerint.</t>
    </r>
  </si>
  <si>
    <t xml:space="preserve">A 2026-4.1.2-HU-RIZONT nemzetközi kiválósági kutatási együttműködési program költségeinek elszámolási szabályairól  …számú rektori-kacellári utasítás alapján valamint a Felhívásban rögzített arányok, és százalékos megkötések alapján készült.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</si>
</sst>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Ft&quot;"/>
    <numFmt numFmtId="165" formatCode="#,##0\ &quot;Ft&quot;"/>
  </numFmts>
  <fonts count="1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2" tint="-0.249977111117893"/>
      <name val="Calibri"/>
      <family val="2"/>
      <charset val="238"/>
      <scheme val="minor"/>
    </font>
    <font>
      <sz val="11"/>
      <color theme="2" tint="-0.249977111117893"/>
      <name val="Calibri"/>
      <family val="2"/>
      <charset val="238"/>
      <scheme val="minor"/>
    </font>
    <font>
      <b/>
      <i/>
      <sz val="11"/>
      <color theme="1"/>
      <name val="Symbol"/>
      <family val="1"/>
      <charset val="2"/>
    </font>
    <font>
      <i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1"/>
      <color theme="1"/>
      <name val="Calbri"/>
      <charset val="238"/>
    </font>
  </fonts>
  <fills count="1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19">
    <xf numFmtId="0" fontId="0" fillId="0" borderId="0" xfId="0"/>
    <xf numFmtId="164" fontId="0" fillId="0" borderId="0" xfId="0" applyNumberForma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0" fontId="3" fillId="2" borderId="23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164" fontId="0" fillId="0" borderId="12" xfId="0" applyNumberFormat="1" applyBorder="1" applyAlignment="1">
      <alignment horizontal="center" vertical="center" wrapText="1"/>
    </xf>
    <xf numFmtId="164" fontId="1" fillId="7" borderId="13" xfId="0" applyNumberFormat="1" applyFont="1" applyFill="1" applyBorder="1"/>
    <xf numFmtId="0" fontId="7" fillId="0" borderId="1" xfId="0" applyFont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4" fillId="2" borderId="6" xfId="0" applyFont="1" applyFill="1" applyBorder="1" applyAlignment="1">
      <alignment horizontal="center" vertical="center" wrapText="1"/>
    </xf>
    <xf numFmtId="9" fontId="0" fillId="0" borderId="0" xfId="1" applyFont="1"/>
    <xf numFmtId="0" fontId="11" fillId="8" borderId="33" xfId="0" applyFont="1" applyFill="1" applyBorder="1" applyAlignment="1">
      <alignment horizontal="center" vertical="center" wrapText="1"/>
    </xf>
    <xf numFmtId="0" fontId="11" fillId="8" borderId="34" xfId="0" applyFont="1" applyFill="1" applyBorder="1" applyAlignment="1">
      <alignment horizontal="center" vertical="center" wrapText="1"/>
    </xf>
    <xf numFmtId="164" fontId="12" fillId="8" borderId="3" xfId="0" applyNumberFormat="1" applyFont="1" applyFill="1" applyBorder="1" applyAlignment="1">
      <alignment horizontal="center" vertical="center"/>
    </xf>
    <xf numFmtId="164" fontId="12" fillId="8" borderId="31" xfId="0" applyNumberFormat="1" applyFont="1" applyFill="1" applyBorder="1" applyAlignment="1">
      <alignment horizontal="center" vertical="center"/>
    </xf>
    <xf numFmtId="164" fontId="12" fillId="8" borderId="1" xfId="0" applyNumberFormat="1" applyFont="1" applyFill="1" applyBorder="1" applyAlignment="1">
      <alignment horizontal="center" vertical="center"/>
    </xf>
    <xf numFmtId="164" fontId="12" fillId="8" borderId="24" xfId="0" applyNumberFormat="1" applyFont="1" applyFill="1" applyBorder="1" applyAlignment="1">
      <alignment horizontal="center" vertical="center"/>
    </xf>
    <xf numFmtId="164" fontId="0" fillId="4" borderId="16" xfId="0" applyNumberFormat="1" applyFill="1" applyBorder="1" applyAlignment="1" applyProtection="1">
      <alignment horizontal="right"/>
      <protection locked="0"/>
    </xf>
    <xf numFmtId="164" fontId="0" fillId="4" borderId="15" xfId="0" applyNumberFormat="1" applyFill="1" applyBorder="1" applyAlignment="1" applyProtection="1">
      <alignment horizontal="right"/>
      <protection locked="0"/>
    </xf>
    <xf numFmtId="164" fontId="0" fillId="4" borderId="14" xfId="0" applyNumberFormat="1" applyFill="1" applyBorder="1" applyAlignment="1" applyProtection="1">
      <alignment horizontal="right"/>
      <protection locked="0"/>
    </xf>
    <xf numFmtId="164" fontId="0" fillId="4" borderId="17" xfId="0" applyNumberFormat="1" applyFill="1" applyBorder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4" fillId="3" borderId="13" xfId="0" applyFont="1" applyFill="1" applyBorder="1" applyAlignment="1">
      <alignment horizontal="center" vertical="center" wrapText="1"/>
    </xf>
    <xf numFmtId="9" fontId="0" fillId="0" borderId="12" xfId="1" applyFont="1" applyBorder="1" applyAlignment="1">
      <alignment horizontal="center" vertical="center"/>
    </xf>
    <xf numFmtId="164" fontId="0" fillId="10" borderId="13" xfId="0" applyNumberFormat="1" applyFill="1" applyBorder="1" applyAlignment="1">
      <alignment horizontal="righ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/>
    <xf numFmtId="0" fontId="0" fillId="12" borderId="0" xfId="0" applyFill="1"/>
    <xf numFmtId="0" fontId="16" fillId="0" borderId="0" xfId="0" applyFont="1"/>
    <xf numFmtId="0" fontId="15" fillId="0" borderId="0" xfId="0" applyFont="1"/>
    <xf numFmtId="165" fontId="0" fillId="0" borderId="1" xfId="0" applyNumberFormat="1" applyBorder="1" applyAlignment="1">
      <alignment horizontal="center" vertical="center"/>
    </xf>
    <xf numFmtId="165" fontId="0" fillId="0" borderId="1" xfId="0" applyNumberFormat="1" applyBorder="1"/>
    <xf numFmtId="165" fontId="0" fillId="0" borderId="6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64" fontId="0" fillId="12" borderId="4" xfId="0" applyNumberFormat="1" applyFill="1" applyBorder="1" applyAlignment="1">
      <alignment vertical="center"/>
    </xf>
    <xf numFmtId="164" fontId="0" fillId="12" borderId="3" xfId="0" applyNumberFormat="1" applyFill="1" applyBorder="1" applyAlignment="1">
      <alignment vertical="center"/>
    </xf>
    <xf numFmtId="164" fontId="0" fillId="0" borderId="3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7" xfId="0" applyFill="1" applyBorder="1"/>
    <xf numFmtId="0" fontId="0" fillId="6" borderId="1" xfId="0" applyFill="1" applyBorder="1" applyAlignment="1">
      <alignment horizontal="center" vertical="center"/>
    </xf>
    <xf numFmtId="0" fontId="0" fillId="6" borderId="1" xfId="0" applyFill="1" applyBorder="1"/>
    <xf numFmtId="0" fontId="0" fillId="11" borderId="1" xfId="0" applyFill="1" applyBorder="1" applyAlignment="1">
      <alignment horizontal="center" vertical="center" wrapText="1"/>
    </xf>
    <xf numFmtId="164" fontId="0" fillId="5" borderId="16" xfId="0" applyNumberFormat="1" applyFill="1" applyBorder="1" applyAlignment="1">
      <alignment horizontal="right"/>
    </xf>
    <xf numFmtId="164" fontId="0" fillId="0" borderId="0" xfId="0" applyNumberFormat="1" applyProtection="1">
      <protection locked="0"/>
    </xf>
    <xf numFmtId="164" fontId="12" fillId="8" borderId="1" xfId="0" applyNumberFormat="1" applyFont="1" applyFill="1" applyBorder="1" applyAlignment="1">
      <alignment horizontal="center" vertical="center"/>
    </xf>
    <xf numFmtId="164" fontId="12" fillId="8" borderId="24" xfId="0" applyNumberFormat="1" applyFont="1" applyFill="1" applyBorder="1" applyAlignment="1">
      <alignment horizontal="center" vertical="center"/>
    </xf>
    <xf numFmtId="0" fontId="12" fillId="8" borderId="24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164" fontId="12" fillId="8" borderId="26" xfId="0" applyNumberFormat="1" applyFont="1" applyFill="1" applyBorder="1" applyAlignment="1">
      <alignment horizontal="center" vertical="center"/>
    </xf>
    <xf numFmtId="0" fontId="12" fillId="8" borderId="2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64" fontId="0" fillId="10" borderId="15" xfId="0" applyNumberFormat="1" applyFill="1" applyBorder="1" applyAlignment="1">
      <alignment horizontal="right"/>
    </xf>
    <xf numFmtId="164" fontId="0" fillId="10" borderId="18" xfId="0" applyNumberFormat="1" applyFill="1" applyBorder="1" applyAlignment="1">
      <alignment horizontal="right"/>
    </xf>
    <xf numFmtId="164" fontId="0" fillId="10" borderId="16" xfId="0" applyNumberFormat="1" applyFill="1" applyBorder="1" applyAlignment="1">
      <alignment horizontal="right"/>
    </xf>
    <xf numFmtId="9" fontId="0" fillId="0" borderId="7" xfId="1" applyFont="1" applyFill="1" applyBorder="1" applyAlignment="1">
      <alignment horizontal="center" vertical="center"/>
    </xf>
    <xf numFmtId="9" fontId="0" fillId="0" borderId="28" xfId="1" applyFont="1" applyFill="1" applyBorder="1" applyAlignment="1">
      <alignment horizontal="center" vertical="center"/>
    </xf>
    <xf numFmtId="9" fontId="0" fillId="0" borderId="10" xfId="1" applyFont="1" applyFill="1" applyBorder="1" applyAlignment="1">
      <alignment horizontal="center" vertical="center"/>
    </xf>
    <xf numFmtId="9" fontId="0" fillId="0" borderId="12" xfId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4" fillId="2" borderId="2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9" borderId="40" xfId="0" applyFont="1" applyFill="1" applyBorder="1" applyAlignment="1">
      <alignment horizontal="center"/>
    </xf>
    <xf numFmtId="0" fontId="6" fillId="6" borderId="20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9" fontId="0" fillId="0" borderId="36" xfId="1" applyFont="1" applyFill="1" applyBorder="1" applyAlignment="1">
      <alignment horizontal="center" vertical="center"/>
    </xf>
    <xf numFmtId="9" fontId="0" fillId="0" borderId="37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2" fillId="8" borderId="2" xfId="0" applyNumberFormat="1" applyFont="1" applyFill="1" applyBorder="1" applyAlignment="1">
      <alignment horizontal="center" vertical="center"/>
    </xf>
    <xf numFmtId="164" fontId="12" fillId="8" borderId="4" xfId="0" applyNumberFormat="1" applyFont="1" applyFill="1" applyBorder="1" applyAlignment="1">
      <alignment horizontal="center" vertical="center"/>
    </xf>
    <xf numFmtId="164" fontId="12" fillId="8" borderId="38" xfId="0" applyNumberFormat="1" applyFont="1" applyFill="1" applyBorder="1" applyAlignment="1">
      <alignment horizontal="center" vertical="center"/>
    </xf>
    <xf numFmtId="164" fontId="12" fillId="8" borderId="39" xfId="0" applyNumberFormat="1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6" borderId="6" xfId="0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11" borderId="41" xfId="0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/>
    </xf>
    <xf numFmtId="0" fontId="14" fillId="11" borderId="42" xfId="0" applyFont="1" applyFill="1" applyBorder="1" applyAlignment="1">
      <alignment horizontal="left" vertical="center" wrapText="1"/>
    </xf>
    <xf numFmtId="0" fontId="0" fillId="11" borderId="0" xfId="0" applyFill="1" applyAlignment="1">
      <alignment horizontal="left"/>
    </xf>
    <xf numFmtId="0" fontId="0" fillId="0" borderId="0" xfId="0" applyAlignment="1">
      <alignment horizontal="left" wrapText="1"/>
    </xf>
    <xf numFmtId="0" fontId="13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</cellXfs>
  <cellStyles count="2">
    <cellStyle name="Normál" xfId="0" builtinId="0"/>
    <cellStyle name="Százalék" xfId="1" builtinId="5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1B25F-FF37-401F-83FF-BBEE170F96BA}">
  <dimension ref="A1:J22"/>
  <sheetViews>
    <sheetView topLeftCell="A7" workbookViewId="0">
      <selection activeCell="A2" sqref="A2:B2"/>
    </sheetView>
  </sheetViews>
  <sheetFormatPr defaultRowHeight="14.4"/>
  <cols>
    <col min="1" max="1" width="15.44140625" customWidth="1"/>
    <col min="2" max="2" width="35.5546875" customWidth="1"/>
    <col min="3" max="3" width="21.5546875" customWidth="1"/>
    <col min="4" max="4" width="19.44140625" style="27" customWidth="1"/>
    <col min="5" max="5" width="16.109375" customWidth="1"/>
    <col min="6" max="6" width="16.88671875" customWidth="1"/>
    <col min="7" max="7" width="15.44140625" customWidth="1"/>
    <col min="8" max="8" width="16.44140625" customWidth="1"/>
  </cols>
  <sheetData>
    <row r="1" spans="1:10" ht="15" thickBot="1">
      <c r="A1" s="87" t="s">
        <v>33</v>
      </c>
      <c r="B1" s="87"/>
      <c r="C1" s="87"/>
      <c r="D1" s="87"/>
      <c r="E1" s="87"/>
      <c r="F1" s="87"/>
      <c r="G1" s="87"/>
      <c r="H1" s="87"/>
    </row>
    <row r="2" spans="1:10" ht="42" thickBot="1">
      <c r="A2" s="88" t="s">
        <v>27</v>
      </c>
      <c r="B2" s="89"/>
      <c r="C2" s="9" t="s">
        <v>17</v>
      </c>
      <c r="D2" s="28" t="s">
        <v>25</v>
      </c>
      <c r="E2" s="10" t="s">
        <v>29</v>
      </c>
      <c r="F2" s="10" t="s">
        <v>30</v>
      </c>
      <c r="G2" s="17" t="s">
        <v>13</v>
      </c>
      <c r="H2" s="18" t="s">
        <v>14</v>
      </c>
    </row>
    <row r="3" spans="1:10" ht="15" thickBot="1">
      <c r="A3" s="98" t="s">
        <v>1</v>
      </c>
      <c r="B3" s="99"/>
      <c r="C3" s="5">
        <v>1</v>
      </c>
      <c r="D3" s="23"/>
      <c r="E3" s="12">
        <f>+D4+D5-D3</f>
        <v>0</v>
      </c>
      <c r="F3" s="11" t="str" cm="1">
        <f t="array" ref="F3">_xlfn.IFS(E3&lt;0,CONCATENATE("Még tervezendő : ",E3," Ft"),E3&gt;0,CONCATENATE("Többet terveztél: ",E3," Ft-tal"),E3=0,"")</f>
        <v/>
      </c>
      <c r="G3" s="19">
        <v>100000000</v>
      </c>
      <c r="H3" s="20">
        <v>400000000</v>
      </c>
    </row>
    <row r="4" spans="1:10" ht="73.5" customHeight="1" thickBot="1">
      <c r="A4" s="83" t="s">
        <v>26</v>
      </c>
      <c r="B4" s="84"/>
      <c r="C4" s="2" t="s">
        <v>15</v>
      </c>
      <c r="D4" s="24"/>
      <c r="E4" s="29" t="str">
        <f>IF($D$3&lt;&gt;0,D4/$D$3,"")</f>
        <v/>
      </c>
      <c r="F4" s="3" t="str">
        <f>IF($D$3&lt;&gt;0,IF(D4&lt;=(D3*30%),TRUE,FALSE),"")</f>
        <v/>
      </c>
      <c r="G4" s="21">
        <f>G3*30%</f>
        <v>30000000</v>
      </c>
      <c r="H4" s="22">
        <f>400000000*30%</f>
        <v>120000000</v>
      </c>
    </row>
    <row r="5" spans="1:10" ht="29.1" customHeight="1" thickBot="1">
      <c r="A5" s="85" t="s">
        <v>0</v>
      </c>
      <c r="B5" s="86"/>
      <c r="C5" s="15" t="s">
        <v>16</v>
      </c>
      <c r="D5" s="30">
        <f>+D6+D9+D10+D11+D12+D13+D14+D15+D16+D17+D18</f>
        <v>0</v>
      </c>
      <c r="E5" s="29" t="str">
        <f>IF($D$3&lt;&gt;0,D5/$D$3,"")</f>
        <v/>
      </c>
      <c r="F5" s="3" t="str">
        <f>IF($D$3&lt;&gt;0,IF(D5&gt;=(D3*70%),TRUE,FALSE),"")</f>
        <v/>
      </c>
      <c r="G5" s="21">
        <f>SUM(G6:G18)</f>
        <v>70000000</v>
      </c>
      <c r="H5" s="22">
        <f>SUM(H6:H18)</f>
        <v>280000000</v>
      </c>
    </row>
    <row r="6" spans="1:10" ht="23.1" customHeight="1">
      <c r="A6" s="79" t="s">
        <v>24</v>
      </c>
      <c r="B6" s="81" t="s">
        <v>28</v>
      </c>
      <c r="C6" s="4" t="s">
        <v>23</v>
      </c>
      <c r="D6" s="56">
        <f>+D7+D8</f>
        <v>0</v>
      </c>
      <c r="E6" s="90" t="str">
        <f t="shared" ref="E6:E8" si="0">IF($D$3&lt;&gt;0,D6/$D$3,"")</f>
        <v/>
      </c>
      <c r="F6" s="92" t="str">
        <f>IF($D$3&lt;&gt;0,IF(D6&gt;=D3*40%,TRUE,FALSE),"")</f>
        <v/>
      </c>
      <c r="G6" s="94">
        <f>G3*40%</f>
        <v>40000000</v>
      </c>
      <c r="H6" s="96">
        <f>H3*40%</f>
        <v>160000000</v>
      </c>
    </row>
    <row r="7" spans="1:10" ht="34.35" customHeight="1">
      <c r="A7" s="80"/>
      <c r="B7" s="82"/>
      <c r="C7" s="6" t="s">
        <v>31</v>
      </c>
      <c r="D7" s="23"/>
      <c r="E7" s="91" t="str">
        <f t="shared" si="0"/>
        <v/>
      </c>
      <c r="F7" s="93"/>
      <c r="G7" s="95"/>
      <c r="H7" s="97"/>
    </row>
    <row r="8" spans="1:10" ht="58.5" customHeight="1">
      <c r="A8" s="80"/>
      <c r="B8" s="82"/>
      <c r="C8" s="6" t="s">
        <v>32</v>
      </c>
      <c r="D8" s="25"/>
      <c r="E8" s="91" t="str">
        <f t="shared" si="0"/>
        <v/>
      </c>
      <c r="F8" s="93"/>
      <c r="G8" s="95"/>
      <c r="H8" s="97"/>
    </row>
    <row r="9" spans="1:10" ht="38.1" customHeight="1">
      <c r="A9" s="7" t="s">
        <v>2</v>
      </c>
      <c r="B9" s="13" t="s">
        <v>21</v>
      </c>
      <c r="C9" s="68" t="s">
        <v>18</v>
      </c>
      <c r="D9" s="25"/>
      <c r="E9" s="77" t="str">
        <f>+IF(D3&lt;&gt;0,(D9+D10)/D3,"")</f>
        <v/>
      </c>
      <c r="F9" s="66" t="str">
        <f>IF($D$3&lt;&gt;0,IF((D9+D10)&lt;=D3*22%,TRUE,FALSE),"")</f>
        <v/>
      </c>
      <c r="G9" s="58">
        <f>G3*22%</f>
        <v>22000000</v>
      </c>
      <c r="H9" s="59">
        <f>H3*22%</f>
        <v>88000000</v>
      </c>
    </row>
    <row r="10" spans="1:10" ht="105.6" customHeight="1">
      <c r="A10" s="8" t="s">
        <v>3</v>
      </c>
      <c r="B10" s="13" t="s">
        <v>22</v>
      </c>
      <c r="C10" s="71"/>
      <c r="D10" s="25"/>
      <c r="E10" s="78"/>
      <c r="F10" s="66"/>
      <c r="G10" s="58"/>
      <c r="H10" s="60"/>
      <c r="J10" s="16"/>
    </row>
    <row r="11" spans="1:10" ht="23.1" customHeight="1">
      <c r="A11" s="61" t="s">
        <v>4</v>
      </c>
      <c r="B11" s="13" t="s">
        <v>5</v>
      </c>
      <c r="C11" s="68" t="s">
        <v>20</v>
      </c>
      <c r="D11" s="72">
        <f>ROUND(D6*0.2,0)-D15-D16-D17-D18</f>
        <v>0</v>
      </c>
      <c r="E11" s="75" t="str">
        <f>+IF(D6&lt;&gt;0,(D11+D16+D15+D17+D18)/D6,"")</f>
        <v/>
      </c>
      <c r="F11" s="66" t="str">
        <f>IF($D$3&lt;&gt;0,IF(SUM(D11:D14)&gt;=D3*5%,TRUE,FALSE),"")</f>
        <v/>
      </c>
      <c r="G11" s="58">
        <f>G3*5%</f>
        <v>5000000</v>
      </c>
      <c r="H11" s="59">
        <f>H3*5%</f>
        <v>20000000</v>
      </c>
    </row>
    <row r="12" spans="1:10">
      <c r="A12" s="62"/>
      <c r="B12" s="13" t="s">
        <v>6</v>
      </c>
      <c r="C12" s="69"/>
      <c r="D12" s="73"/>
      <c r="E12" s="75"/>
      <c r="F12" s="66"/>
      <c r="G12" s="58"/>
      <c r="H12" s="60"/>
    </row>
    <row r="13" spans="1:10">
      <c r="A13" s="62"/>
      <c r="B13" s="13" t="s">
        <v>7</v>
      </c>
      <c r="C13" s="69"/>
      <c r="D13" s="73"/>
      <c r="E13" s="75"/>
      <c r="F13" s="66"/>
      <c r="G13" s="58"/>
      <c r="H13" s="60"/>
    </row>
    <row r="14" spans="1:10">
      <c r="A14" s="62"/>
      <c r="B14" s="13" t="s">
        <v>8</v>
      </c>
      <c r="C14" s="71"/>
      <c r="D14" s="74"/>
      <c r="E14" s="75"/>
      <c r="F14" s="66"/>
      <c r="G14" s="58"/>
      <c r="H14" s="60"/>
    </row>
    <row r="15" spans="1:10">
      <c r="A15" s="62"/>
      <c r="B15" s="13" t="s">
        <v>9</v>
      </c>
      <c r="C15" s="68" t="s">
        <v>19</v>
      </c>
      <c r="D15" s="25"/>
      <c r="E15" s="75"/>
      <c r="F15" s="66" t="str">
        <f>IF($D$3&lt;&gt;0,IF(SUM(D15:D18)&lt;=D3*3%,TRUE,FALSE),"")</f>
        <v/>
      </c>
      <c r="G15" s="58">
        <f>G3*3%</f>
        <v>3000000</v>
      </c>
      <c r="H15" s="59">
        <f>H3*3%</f>
        <v>12000000</v>
      </c>
    </row>
    <row r="16" spans="1:10">
      <c r="A16" s="62"/>
      <c r="B16" s="13" t="s">
        <v>10</v>
      </c>
      <c r="C16" s="69"/>
      <c r="D16" s="25"/>
      <c r="E16" s="75"/>
      <c r="F16" s="66"/>
      <c r="G16" s="58"/>
      <c r="H16" s="60"/>
    </row>
    <row r="17" spans="1:8">
      <c r="A17" s="62"/>
      <c r="B17" s="13" t="s">
        <v>11</v>
      </c>
      <c r="C17" s="69"/>
      <c r="D17" s="25"/>
      <c r="E17" s="75"/>
      <c r="F17" s="66"/>
      <c r="G17" s="58"/>
      <c r="H17" s="60"/>
    </row>
    <row r="18" spans="1:8" ht="15" thickBot="1">
      <c r="A18" s="63"/>
      <c r="B18" s="14" t="s">
        <v>12</v>
      </c>
      <c r="C18" s="70"/>
      <c r="D18" s="26"/>
      <c r="E18" s="76"/>
      <c r="F18" s="67"/>
      <c r="G18" s="64"/>
      <c r="H18" s="65"/>
    </row>
    <row r="19" spans="1:8">
      <c r="G19" s="1"/>
      <c r="H19" s="1"/>
    </row>
    <row r="21" spans="1:8">
      <c r="D21" s="57"/>
    </row>
    <row r="22" spans="1:8">
      <c r="E22" s="27"/>
    </row>
  </sheetData>
  <mergeCells count="27">
    <mergeCell ref="A6:A8"/>
    <mergeCell ref="B6:B8"/>
    <mergeCell ref="A4:B4"/>
    <mergeCell ref="A5:B5"/>
    <mergeCell ref="A1:H1"/>
    <mergeCell ref="A2:B2"/>
    <mergeCell ref="E6:E8"/>
    <mergeCell ref="F6:F8"/>
    <mergeCell ref="G6:G8"/>
    <mergeCell ref="H6:H8"/>
    <mergeCell ref="A3:B3"/>
    <mergeCell ref="G9:G10"/>
    <mergeCell ref="H9:H10"/>
    <mergeCell ref="A11:A18"/>
    <mergeCell ref="G11:G14"/>
    <mergeCell ref="G15:G18"/>
    <mergeCell ref="H11:H14"/>
    <mergeCell ref="H15:H18"/>
    <mergeCell ref="F15:F18"/>
    <mergeCell ref="C15:C18"/>
    <mergeCell ref="C11:C14"/>
    <mergeCell ref="F11:F14"/>
    <mergeCell ref="F9:F10"/>
    <mergeCell ref="D11:D14"/>
    <mergeCell ref="E11:E18"/>
    <mergeCell ref="E9:E10"/>
    <mergeCell ref="C9:C10"/>
  </mergeCells>
  <conditionalFormatting sqref="F2:F1048576">
    <cfRule type="containsText" dxfId="0" priority="1" operator="containsText" text="IGAZ">
      <formula>NOT(ISERROR(SEARCH("IGAZ",F2)))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0FCEC-8D2C-4DEB-84D1-2506A0107F98}">
  <dimension ref="A1:H18"/>
  <sheetViews>
    <sheetView topLeftCell="A5" workbookViewId="0">
      <selection activeCell="B8" sqref="B8"/>
    </sheetView>
  </sheetViews>
  <sheetFormatPr defaultRowHeight="14.4"/>
  <cols>
    <col min="1" max="1" width="44.44140625" customWidth="1"/>
    <col min="2" max="2" width="61.88671875" customWidth="1"/>
    <col min="3" max="3" width="33.88671875" customWidth="1"/>
    <col min="4" max="4" width="17.88671875" customWidth="1"/>
    <col min="5" max="5" width="18.88671875" customWidth="1"/>
    <col min="6" max="6" width="21.88671875" customWidth="1"/>
    <col min="7" max="7" width="25.88671875" customWidth="1"/>
    <col min="8" max="8" width="11.109375" customWidth="1"/>
  </cols>
  <sheetData>
    <row r="1" spans="1:8">
      <c r="A1" s="101" t="s">
        <v>43</v>
      </c>
      <c r="B1" s="102"/>
      <c r="C1" s="52"/>
      <c r="D1" s="103" t="s">
        <v>63</v>
      </c>
      <c r="E1" s="104"/>
      <c r="F1" s="105"/>
      <c r="G1" s="53" t="s">
        <v>82</v>
      </c>
      <c r="H1" s="54" t="s">
        <v>84</v>
      </c>
    </row>
    <row r="2" spans="1:8" ht="28.8">
      <c r="A2" s="106" t="s">
        <v>44</v>
      </c>
      <c r="B2" s="106"/>
      <c r="C2" s="51" t="s">
        <v>69</v>
      </c>
      <c r="D2" s="55" t="s">
        <v>64</v>
      </c>
      <c r="E2" s="55" t="s">
        <v>65</v>
      </c>
      <c r="F2" s="55" t="s">
        <v>66</v>
      </c>
      <c r="G2" s="46" t="s">
        <v>83</v>
      </c>
      <c r="H2" s="33"/>
    </row>
    <row r="3" spans="1:8" ht="41.85" customHeight="1">
      <c r="A3" s="107" t="s">
        <v>45</v>
      </c>
      <c r="B3" s="34" t="s">
        <v>46</v>
      </c>
      <c r="C3" s="34" t="s">
        <v>71</v>
      </c>
      <c r="D3" s="43">
        <f>12*1040000</f>
        <v>12480000</v>
      </c>
      <c r="E3" s="43">
        <f>12*1035000</f>
        <v>12420000</v>
      </c>
      <c r="F3" s="45">
        <f>12*1030000</f>
        <v>12360000</v>
      </c>
      <c r="G3" s="50">
        <f>SUM(D3:F11)</f>
        <v>176400000</v>
      </c>
      <c r="H3" s="66" t="b">
        <f>IF(Költségvetés_tervező!D6='pénzügyi ütemezés'!G3,TRUE,FALSE)</f>
        <v>0</v>
      </c>
    </row>
    <row r="4" spans="1:8" ht="47.1" customHeight="1">
      <c r="A4" s="107"/>
      <c r="B4" s="34" t="s">
        <v>47</v>
      </c>
      <c r="C4" s="34" t="s">
        <v>72</v>
      </c>
      <c r="D4" s="43">
        <f>1700000*12</f>
        <v>20400000</v>
      </c>
      <c r="E4" s="43">
        <f>1700000*12</f>
        <v>20400000</v>
      </c>
      <c r="F4" s="45">
        <f>1700000*12</f>
        <v>20400000</v>
      </c>
      <c r="G4" s="47"/>
      <c r="H4" s="66"/>
    </row>
    <row r="5" spans="1:8" ht="51.6" customHeight="1">
      <c r="A5" s="107"/>
      <c r="B5" s="34" t="s">
        <v>48</v>
      </c>
      <c r="C5" s="34" t="s">
        <v>70</v>
      </c>
      <c r="D5" s="43">
        <f>1600000*12</f>
        <v>19200000</v>
      </c>
      <c r="E5" s="43">
        <f>1600000*12</f>
        <v>19200000</v>
      </c>
      <c r="F5" s="45">
        <f>1600000*12</f>
        <v>19200000</v>
      </c>
      <c r="G5" s="47"/>
      <c r="H5" s="66"/>
    </row>
    <row r="6" spans="1:8" ht="14.85" customHeight="1">
      <c r="A6" s="107"/>
      <c r="B6" s="34" t="s">
        <v>49</v>
      </c>
      <c r="C6" s="33"/>
      <c r="D6" s="43">
        <v>0</v>
      </c>
      <c r="E6" s="43">
        <v>0</v>
      </c>
      <c r="F6" s="45">
        <v>0</v>
      </c>
      <c r="G6" s="47"/>
      <c r="H6" s="66"/>
    </row>
    <row r="7" spans="1:8" ht="14.85" customHeight="1">
      <c r="A7" s="107"/>
      <c r="B7" s="34" t="s">
        <v>50</v>
      </c>
      <c r="C7" s="33"/>
      <c r="D7" s="43">
        <v>0</v>
      </c>
      <c r="E7" s="43">
        <v>0</v>
      </c>
      <c r="F7" s="45">
        <v>0</v>
      </c>
      <c r="G7" s="47"/>
      <c r="H7" s="66"/>
    </row>
    <row r="8" spans="1:8" ht="14.85" customHeight="1">
      <c r="A8" s="107"/>
      <c r="B8" s="34" t="s">
        <v>51</v>
      </c>
      <c r="C8" s="33"/>
      <c r="D8" s="43">
        <v>20000</v>
      </c>
      <c r="E8" s="43">
        <v>0</v>
      </c>
      <c r="F8" s="45">
        <v>0</v>
      </c>
      <c r="G8" s="47"/>
      <c r="H8" s="66"/>
    </row>
    <row r="9" spans="1:8" ht="14.85" customHeight="1">
      <c r="A9" s="107"/>
      <c r="B9" s="34" t="s">
        <v>52</v>
      </c>
      <c r="C9" s="33"/>
      <c r="D9" s="43">
        <v>32200</v>
      </c>
      <c r="E9" s="43">
        <v>0</v>
      </c>
      <c r="F9" s="45">
        <v>0</v>
      </c>
      <c r="G9" s="47"/>
      <c r="H9" s="66"/>
    </row>
    <row r="10" spans="1:8" ht="14.85" customHeight="1">
      <c r="A10" s="107"/>
      <c r="B10" s="34" t="s">
        <v>53</v>
      </c>
      <c r="C10" s="33"/>
      <c r="D10" s="43">
        <f>D3*13%</f>
        <v>1622400</v>
      </c>
      <c r="E10" s="43">
        <f t="shared" ref="E10:F10" si="0">E3*13%</f>
        <v>1614600</v>
      </c>
      <c r="F10" s="45">
        <f t="shared" si="0"/>
        <v>1606800</v>
      </c>
      <c r="G10" s="47"/>
      <c r="H10" s="66"/>
    </row>
    <row r="11" spans="1:8" ht="14.85" customHeight="1">
      <c r="A11" s="107"/>
      <c r="B11" s="34" t="s">
        <v>54</v>
      </c>
      <c r="C11" s="33"/>
      <c r="D11" s="43">
        <f>SUM(D4:D7)*13%</f>
        <v>5148000</v>
      </c>
      <c r="E11" s="43">
        <f t="shared" ref="E11:F11" si="1">SUM(E4:E7)*13%</f>
        <v>5148000</v>
      </c>
      <c r="F11" s="45">
        <f t="shared" si="1"/>
        <v>5148000</v>
      </c>
      <c r="G11" s="47"/>
      <c r="H11" s="66"/>
    </row>
    <row r="12" spans="1:8" ht="75" customHeight="1">
      <c r="A12" s="38" t="s">
        <v>2</v>
      </c>
      <c r="B12" s="34" t="s">
        <v>55</v>
      </c>
      <c r="C12" s="33"/>
      <c r="D12" s="43">
        <f>Költségvetés_tervező!D9</f>
        <v>0</v>
      </c>
      <c r="E12" s="43">
        <v>0</v>
      </c>
      <c r="F12" s="45">
        <v>0</v>
      </c>
      <c r="G12" s="50">
        <f>SUM(D12:F13)</f>
        <v>0</v>
      </c>
      <c r="H12" s="66" t="b">
        <f>IF(Költségvetés_tervező!D9+Költségvetés_tervező!D10+'pénzügyi ütemezés'!G12,TRUE,FALSE)</f>
        <v>0</v>
      </c>
    </row>
    <row r="13" spans="1:8" ht="71.849999999999994" customHeight="1">
      <c r="A13" s="107" t="s">
        <v>56</v>
      </c>
      <c r="B13" s="34" t="s">
        <v>57</v>
      </c>
      <c r="C13" s="34" t="s">
        <v>73</v>
      </c>
      <c r="D13" s="43">
        <f>Költségvetés_tervező!D10*40%</f>
        <v>0</v>
      </c>
      <c r="E13" s="43">
        <f>Költségvetés_tervező!D10*40%</f>
        <v>0</v>
      </c>
      <c r="F13" s="45">
        <f>Költségvetés_tervező!D10*20%</f>
        <v>0</v>
      </c>
      <c r="G13" s="48"/>
      <c r="H13" s="66"/>
    </row>
    <row r="14" spans="1:8" ht="50.1" customHeight="1">
      <c r="A14" s="107"/>
      <c r="B14" s="34" t="s">
        <v>58</v>
      </c>
      <c r="C14" s="33"/>
      <c r="D14" s="43">
        <v>0</v>
      </c>
      <c r="E14" s="43">
        <v>0</v>
      </c>
      <c r="F14" s="43">
        <v>0</v>
      </c>
      <c r="G14" s="49">
        <f>SUM(D14:F14)</f>
        <v>0</v>
      </c>
      <c r="H14" s="66"/>
    </row>
    <row r="15" spans="1:8" ht="42" customHeight="1">
      <c r="A15" s="37" t="s">
        <v>68</v>
      </c>
      <c r="B15" s="34" t="s">
        <v>59</v>
      </c>
      <c r="C15" s="33"/>
      <c r="D15" s="43">
        <f>(Költségvetés_tervező!D11+Költségvetés_tervező!D15+Költségvetés_tervező!D16+Költségvetés_tervező!D17+Költségvetés_tervező!D18)/36*12</f>
        <v>0</v>
      </c>
      <c r="E15" s="43">
        <f>(Költségvetés_tervező!D11+Költségvetés_tervező!D15+Költségvetés_tervező!D17)/36*12</f>
        <v>0</v>
      </c>
      <c r="F15" s="43">
        <f>(Költségvetés_tervező!D11+Költségvetés_tervező!D15+Költségvetés_tervező!D17)/36*12</f>
        <v>0</v>
      </c>
      <c r="G15" s="35">
        <f>SUM(D15:F15)</f>
        <v>0</v>
      </c>
      <c r="H15" s="36" t="b">
        <f>IF(Költségvetés_tervező!D11+Költségvetés_tervező!D15+Költségvetés_tervező!D16+Költségvetés_tervező!D17+Költségvetés_tervező!D18='pénzügyi ütemezés'!G15,TRUE,FALSE)</f>
        <v>1</v>
      </c>
    </row>
    <row r="16" spans="1:8" ht="42" customHeight="1">
      <c r="A16" s="37" t="s">
        <v>78</v>
      </c>
      <c r="B16" s="34" t="s">
        <v>67</v>
      </c>
      <c r="C16" s="33"/>
      <c r="D16" s="43">
        <v>5000000</v>
      </c>
      <c r="E16" s="43">
        <v>25000000</v>
      </c>
      <c r="F16" s="43">
        <v>25000000</v>
      </c>
      <c r="G16" s="50">
        <f>SUM(D16:F17)</f>
        <v>105000000</v>
      </c>
      <c r="H16" s="100" t="b">
        <f>IF(Költségvetés_tervező!D4='pénzügyi ütemezés'!G16,TRUE,FALSE)</f>
        <v>0</v>
      </c>
    </row>
    <row r="17" spans="1:8" ht="62.1" customHeight="1">
      <c r="A17" s="37" t="s">
        <v>79</v>
      </c>
      <c r="B17" s="34" t="s">
        <v>67</v>
      </c>
      <c r="C17" s="33"/>
      <c r="D17" s="43">
        <v>0</v>
      </c>
      <c r="E17" s="43">
        <v>25000000</v>
      </c>
      <c r="F17" s="43">
        <v>25000000</v>
      </c>
      <c r="G17" s="48"/>
      <c r="H17" s="100"/>
    </row>
    <row r="18" spans="1:8">
      <c r="A18" s="39" t="s">
        <v>60</v>
      </c>
      <c r="B18" s="40"/>
      <c r="C18" s="40"/>
      <c r="D18" s="44">
        <f>SUM(D3:D17)</f>
        <v>63902600</v>
      </c>
      <c r="E18" s="44">
        <f>SUM(E3:E17)</f>
        <v>108782600</v>
      </c>
      <c r="F18" s="44">
        <f>SUM(F3:F17)</f>
        <v>108714800</v>
      </c>
      <c r="G18" s="43">
        <f>SUM(D18:F18)</f>
        <v>281400000</v>
      </c>
      <c r="H18" s="33" t="b">
        <f>IF(Költségvetés_tervező!D3='pénzügyi ütemezés'!G18,TRUE,FALSE)</f>
        <v>0</v>
      </c>
    </row>
  </sheetData>
  <mergeCells count="8">
    <mergeCell ref="H3:H11"/>
    <mergeCell ref="H16:H17"/>
    <mergeCell ref="H12:H14"/>
    <mergeCell ref="A1:B1"/>
    <mergeCell ref="D1:F1"/>
    <mergeCell ref="A2:B2"/>
    <mergeCell ref="A3:A11"/>
    <mergeCell ref="A13:A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95B42-4508-47B4-999D-ABD3F7D3D835}">
  <dimension ref="A1:X25"/>
  <sheetViews>
    <sheetView tabSelected="1" workbookViewId="0">
      <selection activeCell="A9" sqref="A9:N9"/>
    </sheetView>
  </sheetViews>
  <sheetFormatPr defaultRowHeight="14.4"/>
  <cols>
    <col min="24" max="24" width="10.5546875" customWidth="1"/>
  </cols>
  <sheetData>
    <row r="1" spans="1:14" ht="17.850000000000001" customHeight="1">
      <c r="A1" s="112" t="s">
        <v>86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</row>
    <row r="2" spans="1:14" ht="17.100000000000001" customHeight="1">
      <c r="A2" s="116" t="s">
        <v>34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spans="1:14">
      <c r="A3" s="32" t="s">
        <v>35</v>
      </c>
      <c r="B3" s="32"/>
      <c r="C3" s="32"/>
      <c r="D3" s="32"/>
      <c r="E3" s="31"/>
      <c r="F3" s="31"/>
      <c r="G3" s="31"/>
      <c r="H3" s="31"/>
      <c r="I3" s="31"/>
      <c r="J3" s="31"/>
      <c r="K3" s="31"/>
      <c r="L3" s="31"/>
      <c r="M3" s="31"/>
      <c r="N3" s="31"/>
    </row>
    <row r="4" spans="1:14">
      <c r="A4" s="108" t="s">
        <v>36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</row>
    <row r="5" spans="1:14">
      <c r="A5" s="108" t="s">
        <v>37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</row>
    <row r="6" spans="1:14" ht="31.35" customHeight="1">
      <c r="A6" s="109" t="s">
        <v>42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</row>
    <row r="7" spans="1:14" ht="32.1" customHeight="1">
      <c r="A7" s="109" t="s">
        <v>38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</row>
    <row r="8" spans="1:14">
      <c r="A8" s="108" t="s">
        <v>39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</row>
    <row r="9" spans="1:14" ht="120" customHeight="1">
      <c r="A9" s="117" t="s">
        <v>87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</row>
    <row r="10" spans="1:14">
      <c r="A10" s="114" t="s">
        <v>88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</row>
    <row r="11" spans="1:14" ht="32.85" customHeight="1">
      <c r="A11" s="109" t="s">
        <v>40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14">
      <c r="A12" s="108" t="s">
        <v>41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</row>
    <row r="13" spans="1:14" ht="43.35" customHeight="1">
      <c r="A13" s="115" t="s">
        <v>89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</row>
    <row r="14" spans="1:14" ht="29.85" customHeight="1">
      <c r="A14" s="118" t="s">
        <v>90</v>
      </c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</row>
    <row r="15" spans="1:14" ht="14.4" customHeight="1">
      <c r="A15" s="111" t="s">
        <v>81</v>
      </c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</row>
    <row r="16" spans="1:14">
      <c r="A16" s="42" t="s">
        <v>61</v>
      </c>
    </row>
    <row r="17" spans="1:24" ht="30.6" customHeight="1">
      <c r="A17" s="110" t="s">
        <v>91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</row>
    <row r="18" spans="1:24">
      <c r="A18" s="113" t="s">
        <v>77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</row>
    <row r="20" spans="1:24">
      <c r="A20" s="41" t="s">
        <v>62</v>
      </c>
    </row>
    <row r="21" spans="1:24">
      <c r="A21" s="110" t="s">
        <v>74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</row>
    <row r="22" spans="1:24">
      <c r="A22" s="110" t="s">
        <v>85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</row>
    <row r="23" spans="1:24">
      <c r="A23" s="110" t="s">
        <v>75</v>
      </c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</row>
    <row r="24" spans="1:24">
      <c r="A24" s="110" t="s">
        <v>76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</row>
    <row r="25" spans="1:24">
      <c r="A25" s="110" t="s">
        <v>80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</row>
  </sheetData>
  <mergeCells count="21">
    <mergeCell ref="A25:X25"/>
    <mergeCell ref="A1:N1"/>
    <mergeCell ref="A17:X17"/>
    <mergeCell ref="A22:X22"/>
    <mergeCell ref="A9:N9"/>
    <mergeCell ref="A10:N10"/>
    <mergeCell ref="A11:N11"/>
    <mergeCell ref="A12:N12"/>
    <mergeCell ref="A13:N13"/>
    <mergeCell ref="A2:N2"/>
    <mergeCell ref="A4:N4"/>
    <mergeCell ref="A15:N15"/>
    <mergeCell ref="A18:X18"/>
    <mergeCell ref="A5:N5"/>
    <mergeCell ref="A6:N6"/>
    <mergeCell ref="A7:N7"/>
    <mergeCell ref="A8:N8"/>
    <mergeCell ref="A24:X24"/>
    <mergeCell ref="A14:N14"/>
    <mergeCell ref="A21:X21"/>
    <mergeCell ref="A23:X2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158b48-fa5a-4960-8fd1-743f9df2f56d">
      <Terms xmlns="http://schemas.microsoft.com/office/infopath/2007/PartnerControls"/>
    </lcf76f155ced4ddcb4097134ff3c332f>
    <TaxCatchAll xmlns="f536d2f9-ec43-4f86-9a07-9d6177ffe5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872608C99C38F448A94144562857CEA5" ma:contentTypeVersion="15" ma:contentTypeDescription="Új dokumentum létrehozása." ma:contentTypeScope="" ma:versionID="2ec40d43968aaf86e211e193f9eea372">
  <xsd:schema xmlns:xsd="http://www.w3.org/2001/XMLSchema" xmlns:xs="http://www.w3.org/2001/XMLSchema" xmlns:p="http://schemas.microsoft.com/office/2006/metadata/properties" xmlns:ns2="f536d2f9-ec43-4f86-9a07-9d6177ffe56a" xmlns:ns3="a2158b48-fa5a-4960-8fd1-743f9df2f56d" targetNamespace="http://schemas.microsoft.com/office/2006/metadata/properties" ma:root="true" ma:fieldsID="84617e5e59492d8da6985049c7250668" ns2:_="" ns3:_="">
    <xsd:import namespace="f536d2f9-ec43-4f86-9a07-9d6177ffe56a"/>
    <xsd:import namespace="a2158b48-fa5a-4960-8fd1-743f9df2f56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ServiceLocation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36d2f9-ec43-4f86-9a07-9d6177ffe5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2a413a71-95bb-43ba-86bd-cb461d2986b0}" ma:internalName="TaxCatchAll" ma:showField="CatchAllData" ma:web="f536d2f9-ec43-4f86-9a07-9d6177ffe5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158b48-fa5a-4960-8fd1-743f9df2f5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1323a659-14ea-4466-8044-9b1bfca8b4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CDC124-CCEF-42D9-99C3-D49D3B37AB89}">
  <ds:schemaRefs>
    <ds:schemaRef ds:uri="http://schemas.microsoft.com/office/2006/metadata/properties"/>
    <ds:schemaRef ds:uri="http://schemas.microsoft.com/office/infopath/2007/PartnerControls"/>
    <ds:schemaRef ds:uri="a2158b48-fa5a-4960-8fd1-743f9df2f56d"/>
    <ds:schemaRef ds:uri="f536d2f9-ec43-4f86-9a07-9d6177ffe56a"/>
  </ds:schemaRefs>
</ds:datastoreItem>
</file>

<file path=customXml/itemProps2.xml><?xml version="1.0" encoding="utf-8"?>
<ds:datastoreItem xmlns:ds="http://schemas.openxmlformats.org/officeDocument/2006/customXml" ds:itemID="{9B0DD0A3-5F73-4EDA-A5CA-69367A95D6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36d2f9-ec43-4f86-9a07-9d6177ffe56a"/>
    <ds:schemaRef ds:uri="a2158b48-fa5a-4960-8fd1-743f9df2f5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E70C32-FFA9-4E2D-AD02-7ECA7FD66E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Költségvetés_tervező</vt:lpstr>
      <vt:lpstr>pénzügyi ütemezés</vt:lpstr>
      <vt:lpstr>Segédlet</vt:lpstr>
    </vt:vector>
  </TitlesOfParts>
  <Company>Semmelweis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Lánczi Dóra (kiemelt pályázati szakértő)</dc:creator>
  <cp:lastModifiedBy>Nagy Györgyi (kiemelt pályázati szakértő)</cp:lastModifiedBy>
  <dcterms:created xsi:type="dcterms:W3CDTF">2025-04-28T12:24:27Z</dcterms:created>
  <dcterms:modified xsi:type="dcterms:W3CDTF">2026-04-14T07:37:24Z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0x010100872608C99C38F448A94144562857CEA5</vt:lpwstr>
  </property>
  <property fmtid="{D5CDD505-2E9C-101B-9397-08002B2CF9AE}" pid="3" name="MediaServiceImageTags">
    <vt:lpwstr/>
  </property>
</Properties>
</file>