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unisemmelweis.sharepoint.com/sites/PKFIHIIG/Megosztott dokumentumok/PKHI/szabályozás/Pályázati Szabályzat/Workshop/"/>
    </mc:Choice>
  </mc:AlternateContent>
  <xr:revisionPtr revIDLastSave="295" documentId="8_{86D40F1E-4020-427E-BEA2-55D0521044DE}" xr6:coauthVersionLast="47" xr6:coauthVersionMax="47" xr10:uidLastSave="{2D8BC749-5227-4CFC-B8A2-1FF3A587E8CE}"/>
  <bookViews>
    <workbookView xWindow="756" yWindow="24" windowWidth="21600" windowHeight="11772" xr2:uid="{00000000-000D-0000-FFFF-FFFF00000000}"/>
  </bookViews>
  <sheets>
    <sheet name="Költségvetéstervező" sheetId="4" r:id="rId1"/>
    <sheet name="árajánlatok EPTK képernyőkép" sheetId="1" r:id="rId2"/>
    <sheet name="árajánlatok" sheetId="2" r:id="rId3"/>
    <sheet name="Pénzforgalom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6" i="4" l="1"/>
  <c r="F64" i="4" l="1"/>
  <c r="F63" i="4"/>
  <c r="F62" i="4"/>
  <c r="F61" i="4"/>
  <c r="C2" i="5" l="1"/>
  <c r="K73" i="4"/>
  <c r="K62" i="4"/>
  <c r="L62" i="4" s="1"/>
  <c r="K63" i="4"/>
  <c r="L63" i="4" s="1"/>
  <c r="K64" i="4"/>
  <c r="L64" i="4" s="1"/>
  <c r="K65" i="4"/>
  <c r="L65" i="4"/>
  <c r="K66" i="4"/>
  <c r="L66" i="4" s="1"/>
  <c r="K67" i="4"/>
  <c r="L67" i="4" s="1"/>
  <c r="K68" i="4"/>
  <c r="L68" i="4"/>
  <c r="K69" i="4"/>
  <c r="L69" i="4" s="1"/>
  <c r="K61" i="4"/>
  <c r="L61" i="4" s="1"/>
  <c r="K74" i="4"/>
  <c r="J69" i="4"/>
  <c r="E69" i="4"/>
  <c r="D69" i="4"/>
  <c r="J68" i="4"/>
  <c r="E68" i="4"/>
  <c r="D68" i="4"/>
  <c r="J67" i="4"/>
  <c r="E67" i="4"/>
  <c r="D67" i="4"/>
  <c r="I66" i="4"/>
  <c r="E66" i="4"/>
  <c r="D66" i="4"/>
  <c r="I65" i="4"/>
  <c r="E65" i="4"/>
  <c r="D65" i="4"/>
  <c r="I64" i="4"/>
  <c r="D64" i="4"/>
  <c r="I63" i="4"/>
  <c r="D63" i="4"/>
  <c r="I62" i="4"/>
  <c r="D62" i="4"/>
  <c r="I61" i="4"/>
  <c r="D61" i="4"/>
  <c r="K16" i="4"/>
  <c r="G10" i="4"/>
  <c r="G9" i="4"/>
  <c r="K17" i="4"/>
  <c r="J12" i="4"/>
  <c r="E12" i="4"/>
  <c r="D12" i="4"/>
  <c r="J11" i="4"/>
  <c r="E11" i="4"/>
  <c r="D11" i="4"/>
  <c r="I20" i="4"/>
  <c r="E20" i="4"/>
  <c r="D20" i="4"/>
  <c r="I19" i="4"/>
  <c r="E19" i="4"/>
  <c r="D19" i="4"/>
  <c r="I10" i="4"/>
  <c r="E10" i="4"/>
  <c r="D10" i="4"/>
  <c r="I9" i="4"/>
  <c r="E9" i="4"/>
  <c r="D9" i="4"/>
  <c r="J45" i="4"/>
  <c r="J44" i="4"/>
  <c r="J43" i="4"/>
  <c r="E44" i="4"/>
  <c r="D44" i="4"/>
  <c r="E39" i="4"/>
  <c r="K50" i="4"/>
  <c r="I38" i="4"/>
  <c r="I39" i="4"/>
  <c r="I40" i="4"/>
  <c r="I41" i="4"/>
  <c r="I42" i="4"/>
  <c r="I37" i="4"/>
  <c r="D38" i="4"/>
  <c r="E38" i="4"/>
  <c r="D39" i="4"/>
  <c r="D40" i="4"/>
  <c r="E40" i="4"/>
  <c r="D41" i="4"/>
  <c r="E41" i="4"/>
  <c r="D42" i="4"/>
  <c r="E42" i="4"/>
  <c r="D43" i="4"/>
  <c r="E43" i="4"/>
  <c r="D45" i="4"/>
  <c r="E45" i="4"/>
  <c r="E37" i="4"/>
  <c r="D37" i="4"/>
  <c r="F65" i="4" l="1"/>
  <c r="F66" i="4"/>
  <c r="F68" i="4"/>
  <c r="F69" i="4"/>
  <c r="F67" i="4"/>
  <c r="F19" i="4"/>
  <c r="K19" i="4" s="1"/>
  <c r="L19" i="4" s="1"/>
  <c r="F41" i="4"/>
  <c r="K41" i="4" s="1"/>
  <c r="L41" i="4" s="1"/>
  <c r="F12" i="4"/>
  <c r="K12" i="4" s="1"/>
  <c r="L12" i="4" s="1"/>
  <c r="F44" i="4"/>
  <c r="K44" i="4" s="1"/>
  <c r="L44" i="4" s="1"/>
  <c r="F42" i="4"/>
  <c r="K42" i="4" s="1"/>
  <c r="L42" i="4" s="1"/>
  <c r="F20" i="4"/>
  <c r="K20" i="4" s="1"/>
  <c r="L20" i="4" s="1"/>
  <c r="F11" i="4"/>
  <c r="K11" i="4" s="1"/>
  <c r="L11" i="4" s="1"/>
  <c r="F9" i="4"/>
  <c r="K9" i="4" s="1"/>
  <c r="L9" i="4" s="1"/>
  <c r="F10" i="4"/>
  <c r="K10" i="4" s="1"/>
  <c r="L10" i="4" s="1"/>
  <c r="F45" i="4"/>
  <c r="K45" i="4" s="1"/>
  <c r="L45" i="4" s="1"/>
  <c r="F37" i="4"/>
  <c r="K37" i="4" s="1"/>
  <c r="L37" i="4" s="1"/>
  <c r="F40" i="4"/>
  <c r="K40" i="4" s="1"/>
  <c r="L40" i="4" s="1"/>
  <c r="F39" i="4"/>
  <c r="K39" i="4" s="1"/>
  <c r="F38" i="4"/>
  <c r="K38" i="4" s="1"/>
  <c r="L38" i="4" s="1"/>
  <c r="F43" i="4"/>
  <c r="K43" i="4" s="1"/>
  <c r="L43" i="4" s="1"/>
  <c r="L70" i="4" l="1"/>
  <c r="K70" i="4"/>
  <c r="L13" i="4"/>
  <c r="K13" i="4"/>
  <c r="L39" i="4"/>
  <c r="L46" i="4" s="1"/>
  <c r="K46" i="4"/>
  <c r="K72" i="4" l="1"/>
  <c r="K15" i="4"/>
  <c r="K18" i="4" s="1"/>
  <c r="K48" i="4"/>
  <c r="K51" i="4" s="1"/>
  <c r="K52" i="4" s="1"/>
  <c r="K53" i="4" s="1"/>
  <c r="K21" i="4" l="1"/>
  <c r="K22" i="4" s="1"/>
  <c r="K24" i="4" s="1"/>
  <c r="K55" i="4"/>
  <c r="K54" i="4"/>
  <c r="K23" i="4" l="1"/>
  <c r="K75" i="4"/>
  <c r="K76" i="4" s="1"/>
  <c r="K77" i="4" l="1"/>
  <c r="K79" i="4" s="1"/>
  <c r="K78" i="4" l="1"/>
</calcChain>
</file>

<file path=xl/sharedStrings.xml><?xml version="1.0" encoding="utf-8"?>
<sst xmlns="http://schemas.openxmlformats.org/spreadsheetml/2006/main" count="139" uniqueCount="64">
  <si>
    <t>Tevékenység neve (Alk.ip. Kutatás, Eszközbeszerzés, Kís.fejlesztés, Kooord… stb)</t>
  </si>
  <si>
    <t>Árajánlat tárgya</t>
  </si>
  <si>
    <t>Árajánlat kelte</t>
  </si>
  <si>
    <t>Árajánlatadó/szállító neve</t>
  </si>
  <si>
    <t>Árajánlatadó/szállító adószáma</t>
  </si>
  <si>
    <t>Külf. Adószám</t>
  </si>
  <si>
    <t>Költségkategória</t>
  </si>
  <si>
    <t>Az árajánlatban szereplő nettó összeg</t>
  </si>
  <si>
    <t>Az árajánlatban szereplő bruttó összeg</t>
  </si>
  <si>
    <t>Költségek funkcióban rögzített elszámolható költség</t>
  </si>
  <si>
    <t>Árajánlat csatolva (igen/nem)</t>
  </si>
  <si>
    <t>A Pályázati útmutató 10.2. pontjának megfelelő árajánlat benyújtása szükséges a 11. Immateriális javak, 13. Műszaki berendezések, gépek, járművek; 14. Egyéb berendezések, felszerelések, járművek és az 52. Igénybevett szolgáltatások (kivéve tájékoztatási tevékenység esetében) költségtípusba tartozó költségekhez. Kérjük, ezen tételek alátámasztását szolgáló valamennyi ajánlat rögzítését</t>
  </si>
  <si>
    <t>pdf. Megnevezése</t>
  </si>
  <si>
    <t>1.</t>
  </si>
  <si>
    <t>Árajánlatadó /szállító  2019.évi átlagos statisztikai állományi létszáma</t>
  </si>
  <si>
    <t>Árajánlatadó /szállító 2019.évi nettó árbevétele</t>
  </si>
  <si>
    <t>Kutató1</t>
  </si>
  <si>
    <t>Kutató2</t>
  </si>
  <si>
    <t>Kutató3</t>
  </si>
  <si>
    <t>Tervezendő feladatkör</t>
  </si>
  <si>
    <t>Jogcím</t>
  </si>
  <si>
    <t>illetménykiegészítés</t>
  </si>
  <si>
    <t>keresetkiegészítés</t>
  </si>
  <si>
    <t>kezdő dátum</t>
  </si>
  <si>
    <t>záró dátum</t>
  </si>
  <si>
    <t>Felhívás</t>
  </si>
  <si>
    <t>Projektazonosító</t>
  </si>
  <si>
    <t>PNYR azonosító</t>
  </si>
  <si>
    <t>Fizikai zárás dátuma</t>
  </si>
  <si>
    <t>Projekt kezdete</t>
  </si>
  <si>
    <t>hónapok száma</t>
  </si>
  <si>
    <t>Bruttó bér/ Bruttó kerkieg</t>
  </si>
  <si>
    <t>Kutató4 = Laborvezető</t>
  </si>
  <si>
    <t>Pénzügyi asszisztens</t>
  </si>
  <si>
    <t>Projektasszisztens</t>
  </si>
  <si>
    <t>Szakmai admin1 = Pénzügyi asszisztens</t>
  </si>
  <si>
    <t>Szakmai admin2 = Projektasszisztens</t>
  </si>
  <si>
    <t>Laborasszisztens2</t>
  </si>
  <si>
    <t>Laborasszisztens1</t>
  </si>
  <si>
    <t>munkabér</t>
  </si>
  <si>
    <t>Projektre fordítandó munkaidő</t>
  </si>
  <si>
    <t>Arányosítandó bér</t>
  </si>
  <si>
    <t>Projektre fordított arány</t>
  </si>
  <si>
    <t>Tervezett bér</t>
  </si>
  <si>
    <t>Tervezett járulék</t>
  </si>
  <si>
    <t>Támogatás összege</t>
  </si>
  <si>
    <t>Bérköltség összesen</t>
  </si>
  <si>
    <t>Személyi jellegű költségek összesen</t>
  </si>
  <si>
    <t>Külföldi konferemcia költsége</t>
  </si>
  <si>
    <t>Szekvenálási szolgáltatás</t>
  </si>
  <si>
    <t>Közvetlen költségek összesen</t>
  </si>
  <si>
    <t>Általános költségek (rezsi) - overhead - közvetett költségek</t>
  </si>
  <si>
    <t>Támogatás összesen</t>
  </si>
  <si>
    <t>Tervezendő még</t>
  </si>
  <si>
    <t>Túltervezett összeg</t>
  </si>
  <si>
    <t>Laborasszisztens3= Laborvezető</t>
  </si>
  <si>
    <t>Kutató2 = laborvezető</t>
  </si>
  <si>
    <t>Felhívás1</t>
  </si>
  <si>
    <t>A különbözetet hozzáadjuk, vagy kivonjuk úgy, hogy előtte osztjuk 1,2-vel</t>
  </si>
  <si>
    <t>Időpontja</t>
  </si>
  <si>
    <t>típusa</t>
  </si>
  <si>
    <t>összege</t>
  </si>
  <si>
    <t>előleg</t>
  </si>
  <si>
    <t>támogatás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</si>
</sst>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2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14" fontId="0" fillId="0" borderId="3" xfId="0" applyNumberFormat="1" applyBorder="1" applyAlignment="1">
      <alignment wrapText="1"/>
    </xf>
    <xf numFmtId="3" fontId="0" fillId="0" borderId="3" xfId="0" applyNumberFormat="1" applyBorder="1" applyAlignment="1">
      <alignment wrapText="1"/>
    </xf>
    <xf numFmtId="0" fontId="2" fillId="0" borderId="3" xfId="0" applyFont="1" applyBorder="1" applyAlignment="1">
      <alignment wrapText="1"/>
    </xf>
    <xf numFmtId="3" fontId="3" fillId="0" borderId="3" xfId="0" applyNumberFormat="1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1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4" fontId="4" fillId="0" borderId="0" xfId="1" applyNumberFormat="1" applyFont="1"/>
    <xf numFmtId="0" fontId="0" fillId="2" borderId="5" xfId="0" applyFill="1" applyBorder="1" applyAlignment="1">
      <alignment wrapText="1"/>
    </xf>
    <xf numFmtId="0" fontId="0" fillId="2" borderId="6" xfId="0" applyFill="1" applyBorder="1"/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0" borderId="4" xfId="0" applyBorder="1" applyAlignment="1">
      <alignment wrapText="1"/>
    </xf>
    <xf numFmtId="164" fontId="0" fillId="0" borderId="0" xfId="1" applyNumberFormat="1" applyFont="1" applyBorder="1"/>
    <xf numFmtId="9" fontId="0" fillId="0" borderId="0" xfId="2" applyFont="1" applyBorder="1"/>
    <xf numFmtId="164" fontId="0" fillId="0" borderId="8" xfId="0" applyNumberFormat="1" applyBorder="1"/>
    <xf numFmtId="164" fontId="4" fillId="0" borderId="0" xfId="1" applyNumberFormat="1" applyFont="1" applyBorder="1"/>
    <xf numFmtId="0" fontId="0" fillId="0" borderId="6" xfId="0" applyBorder="1"/>
    <xf numFmtId="164" fontId="0" fillId="0" borderId="7" xfId="0" applyNumberFormat="1" applyBorder="1"/>
    <xf numFmtId="0" fontId="0" fillId="2" borderId="0" xfId="0" applyFill="1"/>
    <xf numFmtId="164" fontId="0" fillId="2" borderId="8" xfId="0" applyNumberFormat="1" applyFill="1" applyBorder="1"/>
    <xf numFmtId="0" fontId="0" fillId="2" borderId="9" xfId="0" applyFill="1" applyBorder="1" applyAlignment="1">
      <alignment wrapText="1"/>
    </xf>
    <xf numFmtId="0" fontId="0" fillId="2" borderId="10" xfId="0" applyFill="1" applyBorder="1"/>
    <xf numFmtId="164" fontId="0" fillId="2" borderId="11" xfId="0" applyNumberFormat="1" applyFill="1" applyBorder="1"/>
    <xf numFmtId="0" fontId="4" fillId="0" borderId="0" xfId="0" applyFont="1"/>
    <xf numFmtId="0" fontId="4" fillId="0" borderId="4" xfId="0" applyFont="1" applyBorder="1" applyAlignment="1">
      <alignment wrapText="1"/>
    </xf>
    <xf numFmtId="14" fontId="4" fillId="0" borderId="0" xfId="0" applyNumberFormat="1" applyFont="1"/>
    <xf numFmtId="9" fontId="4" fillId="0" borderId="0" xfId="2" applyFont="1" applyBorder="1"/>
    <xf numFmtId="164" fontId="4" fillId="0" borderId="0" xfId="0" applyNumberFormat="1" applyFont="1"/>
    <xf numFmtId="164" fontId="4" fillId="0" borderId="8" xfId="0" applyNumberFormat="1" applyFont="1" applyBorder="1"/>
    <xf numFmtId="164" fontId="0" fillId="2" borderId="10" xfId="0" applyNumberFormat="1" applyFill="1" applyBorder="1"/>
    <xf numFmtId="164" fontId="0" fillId="0" borderId="1" xfId="0" applyNumberFormat="1" applyBorder="1"/>
    <xf numFmtId="164" fontId="0" fillId="0" borderId="2" xfId="0" applyNumberFormat="1" applyBorder="1"/>
    <xf numFmtId="0" fontId="0" fillId="3" borderId="0" xfId="0" applyFill="1"/>
    <xf numFmtId="164" fontId="0" fillId="3" borderId="8" xfId="0" applyNumberFormat="1" applyFill="1" applyBorder="1"/>
    <xf numFmtId="0" fontId="0" fillId="4" borderId="0" xfId="0" applyFill="1"/>
    <xf numFmtId="0" fontId="0" fillId="4" borderId="0" xfId="0" applyFill="1" applyAlignment="1">
      <alignment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2" fillId="0" borderId="0" xfId="0" applyFont="1" applyAlignment="1">
      <alignment horizontal="center" wrapText="1"/>
    </xf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294324</xdr:colOff>
      <xdr:row>33</xdr:row>
      <xdr:rowOff>56357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E7726DC7-7AA5-C1A6-477F-7760D1539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09524" cy="63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66705-1639-42D9-9DD0-98ACBAACA33B}">
  <dimension ref="A2:V79"/>
  <sheetViews>
    <sheetView tabSelected="1" topLeftCell="A60" workbookViewId="0">
      <selection activeCell="M77" sqref="M77"/>
    </sheetView>
  </sheetViews>
  <sheetFormatPr defaultRowHeight="14.4" x14ac:dyDescent="0.3"/>
  <cols>
    <col min="2" max="2" width="29.44140625" style="1" customWidth="1"/>
    <col min="3" max="3" width="21.33203125" customWidth="1"/>
    <col min="4" max="5" width="13.44140625" customWidth="1"/>
    <col min="7" max="7" width="12" customWidth="1"/>
    <col min="8" max="10" width="14.109375" customWidth="1"/>
    <col min="11" max="11" width="12.88671875" bestFit="1" customWidth="1"/>
    <col min="12" max="12" width="10.33203125" bestFit="1" customWidth="1"/>
  </cols>
  <sheetData>
    <row r="2" spans="1:12" x14ac:dyDescent="0.3">
      <c r="B2" s="1" t="s">
        <v>25</v>
      </c>
      <c r="C2" t="s">
        <v>57</v>
      </c>
    </row>
    <row r="3" spans="1:12" x14ac:dyDescent="0.3">
      <c r="B3" s="1" t="s">
        <v>26</v>
      </c>
    </row>
    <row r="4" spans="1:12" x14ac:dyDescent="0.3">
      <c r="B4" s="1" t="s">
        <v>27</v>
      </c>
    </row>
    <row r="5" spans="1:12" x14ac:dyDescent="0.3">
      <c r="B5" s="1" t="s">
        <v>45</v>
      </c>
      <c r="C5" s="10">
        <v>75000000</v>
      </c>
    </row>
    <row r="6" spans="1:12" x14ac:dyDescent="0.3">
      <c r="B6" s="1" t="s">
        <v>29</v>
      </c>
      <c r="C6" s="9">
        <v>45627</v>
      </c>
    </row>
    <row r="7" spans="1:12" ht="15" thickBot="1" x14ac:dyDescent="0.35">
      <c r="B7" s="1" t="s">
        <v>28</v>
      </c>
      <c r="C7" s="9">
        <v>45838</v>
      </c>
    </row>
    <row r="8" spans="1:12" ht="43.2" x14ac:dyDescent="0.3">
      <c r="B8" s="13" t="s">
        <v>19</v>
      </c>
      <c r="C8" s="14" t="s">
        <v>20</v>
      </c>
      <c r="D8" s="14" t="s">
        <v>23</v>
      </c>
      <c r="E8" s="14" t="s">
        <v>24</v>
      </c>
      <c r="F8" s="15" t="s">
        <v>30</v>
      </c>
      <c r="G8" s="15" t="s">
        <v>40</v>
      </c>
      <c r="H8" s="15" t="s">
        <v>31</v>
      </c>
      <c r="I8" s="15" t="s">
        <v>41</v>
      </c>
      <c r="J8" s="15" t="s">
        <v>42</v>
      </c>
      <c r="K8" s="15" t="s">
        <v>43</v>
      </c>
      <c r="L8" s="16" t="s">
        <v>44</v>
      </c>
    </row>
    <row r="9" spans="1:12" x14ac:dyDescent="0.3">
      <c r="A9" t="s">
        <v>13</v>
      </c>
      <c r="B9" s="17" t="s">
        <v>16</v>
      </c>
      <c r="C9" t="s">
        <v>21</v>
      </c>
      <c r="D9" s="9">
        <f>$C$6</f>
        <v>45627</v>
      </c>
      <c r="E9" s="9">
        <f>$C$7</f>
        <v>45838</v>
      </c>
      <c r="F9">
        <f>+ROUND((E9-D9)/30,0)</f>
        <v>7</v>
      </c>
      <c r="G9">
        <f>40*0.2</f>
        <v>8</v>
      </c>
      <c r="H9" s="18">
        <v>2000000</v>
      </c>
      <c r="I9" s="18">
        <f>+H9</f>
        <v>2000000</v>
      </c>
      <c r="J9" s="19">
        <v>1</v>
      </c>
      <c r="K9" s="11">
        <f>+F9*I9*J9</f>
        <v>14000000</v>
      </c>
      <c r="L9" s="20">
        <f>+K9*0.13</f>
        <v>1820000</v>
      </c>
    </row>
    <row r="10" spans="1:12" x14ac:dyDescent="0.3">
      <c r="B10" s="17" t="s">
        <v>56</v>
      </c>
      <c r="C10" t="s">
        <v>21</v>
      </c>
      <c r="D10" s="9">
        <f t="shared" ref="D10:D20" si="0">$C$6</f>
        <v>45627</v>
      </c>
      <c r="E10" s="9">
        <f t="shared" ref="E10:E20" si="1">$C$7</f>
        <v>45838</v>
      </c>
      <c r="F10">
        <f t="shared" ref="F10:F12" si="2">+ROUND((E10-D10)/30,0)</f>
        <v>7</v>
      </c>
      <c r="G10">
        <f>40*0.2</f>
        <v>8</v>
      </c>
      <c r="H10" s="18">
        <v>2000000</v>
      </c>
      <c r="I10" s="18">
        <f t="shared" ref="I10" si="3">+H10</f>
        <v>2000000</v>
      </c>
      <c r="J10" s="19">
        <v>1</v>
      </c>
      <c r="K10" s="11">
        <f t="shared" ref="K10:K12" si="4">+F10*I10*J10</f>
        <v>14000000</v>
      </c>
      <c r="L10" s="20">
        <f t="shared" ref="L10:L12" si="5">+K10*0.13</f>
        <v>1820000</v>
      </c>
    </row>
    <row r="11" spans="1:12" x14ac:dyDescent="0.3">
      <c r="B11" s="17" t="s">
        <v>38</v>
      </c>
      <c r="C11" t="s">
        <v>39</v>
      </c>
      <c r="D11" s="9">
        <f t="shared" si="0"/>
        <v>45627</v>
      </c>
      <c r="E11" s="9">
        <f t="shared" si="1"/>
        <v>45838</v>
      </c>
      <c r="F11">
        <f t="shared" si="2"/>
        <v>7</v>
      </c>
      <c r="G11">
        <v>10</v>
      </c>
      <c r="H11" s="21">
        <v>950000</v>
      </c>
      <c r="I11" s="21">
        <v>796460</v>
      </c>
      <c r="J11" s="19">
        <f>+G11/40</f>
        <v>0.25</v>
      </c>
      <c r="K11" s="11">
        <f t="shared" si="4"/>
        <v>1393805</v>
      </c>
      <c r="L11" s="20">
        <f t="shared" si="5"/>
        <v>181194.65</v>
      </c>
    </row>
    <row r="12" spans="1:12" ht="17.25" customHeight="1" x14ac:dyDescent="0.3">
      <c r="B12" s="30" t="s">
        <v>55</v>
      </c>
      <c r="C12" s="29" t="s">
        <v>39</v>
      </c>
      <c r="D12" s="31">
        <f t="shared" si="0"/>
        <v>45627</v>
      </c>
      <c r="E12" s="31">
        <f t="shared" si="1"/>
        <v>45838</v>
      </c>
      <c r="F12" s="29">
        <f t="shared" si="2"/>
        <v>7</v>
      </c>
      <c r="G12" s="29">
        <v>10</v>
      </c>
      <c r="H12" s="21">
        <v>1000000</v>
      </c>
      <c r="I12" s="21">
        <v>1000000</v>
      </c>
      <c r="J12" s="32">
        <f>+G12/40</f>
        <v>0.25</v>
      </c>
      <c r="K12" s="33">
        <f t="shared" si="4"/>
        <v>1750000</v>
      </c>
      <c r="L12" s="34">
        <f t="shared" si="5"/>
        <v>227500</v>
      </c>
    </row>
    <row r="13" spans="1:12" ht="15" thickBot="1" x14ac:dyDescent="0.35">
      <c r="B13" s="26" t="s">
        <v>46</v>
      </c>
      <c r="C13" s="27"/>
      <c r="D13" s="27"/>
      <c r="E13" s="27"/>
      <c r="F13" s="27"/>
      <c r="G13" s="27"/>
      <c r="H13" s="27"/>
      <c r="I13" s="27"/>
      <c r="J13" s="27"/>
      <c r="K13" s="35">
        <f>SUM(K9:K12)</f>
        <v>31143805</v>
      </c>
      <c r="L13" s="28">
        <f>SUM(L9:L12)</f>
        <v>4048694.65</v>
      </c>
    </row>
    <row r="14" spans="1:12" ht="15" thickBot="1" x14ac:dyDescent="0.35">
      <c r="K14" s="11"/>
      <c r="L14" s="11"/>
    </row>
    <row r="15" spans="1:12" x14ac:dyDescent="0.3">
      <c r="B15" s="46" t="s">
        <v>47</v>
      </c>
      <c r="C15" s="47"/>
      <c r="D15" s="22"/>
      <c r="E15" s="22"/>
      <c r="F15" s="22"/>
      <c r="G15" s="22"/>
      <c r="H15" s="22"/>
      <c r="I15" s="22"/>
      <c r="J15" s="22"/>
      <c r="K15" s="23">
        <f>+K13+L13</f>
        <v>35192499.649999999</v>
      </c>
      <c r="L15" s="11"/>
    </row>
    <row r="16" spans="1:12" x14ac:dyDescent="0.3">
      <c r="B16" s="42" t="s">
        <v>48</v>
      </c>
      <c r="C16" s="43"/>
      <c r="K16" s="20">
        <f>15000000+194500/1.2</f>
        <v>15162083.333333334</v>
      </c>
    </row>
    <row r="17" spans="2:12" x14ac:dyDescent="0.3">
      <c r="B17" s="42" t="s">
        <v>49</v>
      </c>
      <c r="C17" s="43"/>
      <c r="K17" s="20">
        <f>12000000*1.27</f>
        <v>15240000</v>
      </c>
    </row>
    <row r="18" spans="2:12" ht="15" thickBot="1" x14ac:dyDescent="0.35">
      <c r="B18" s="44" t="s">
        <v>50</v>
      </c>
      <c r="C18" s="45"/>
      <c r="D18" s="24"/>
      <c r="E18" s="24"/>
      <c r="F18" s="24"/>
      <c r="G18" s="24"/>
      <c r="H18" s="24"/>
      <c r="I18" s="24"/>
      <c r="J18" s="24"/>
      <c r="K18" s="25">
        <f>+K15+K16+K17</f>
        <v>65594582.983333334</v>
      </c>
    </row>
    <row r="19" spans="2:12" x14ac:dyDescent="0.3">
      <c r="B19" s="17" t="s">
        <v>33</v>
      </c>
      <c r="C19" t="s">
        <v>22</v>
      </c>
      <c r="D19" s="9">
        <f t="shared" si="0"/>
        <v>45627</v>
      </c>
      <c r="E19" s="9">
        <f t="shared" si="1"/>
        <v>45838</v>
      </c>
      <c r="F19">
        <f>+ROUND((E19-D19)/30,0)</f>
        <v>7</v>
      </c>
      <c r="G19">
        <v>10</v>
      </c>
      <c r="H19" s="18">
        <v>100000</v>
      </c>
      <c r="I19" s="18">
        <f>+H19</f>
        <v>100000</v>
      </c>
      <c r="J19" s="19">
        <v>1</v>
      </c>
      <c r="K19" s="11">
        <f>+F19*I19*J19</f>
        <v>700000</v>
      </c>
      <c r="L19" s="36">
        <f>+K19*0.13</f>
        <v>91000</v>
      </c>
    </row>
    <row r="20" spans="2:12" ht="15" thickBot="1" x14ac:dyDescent="0.35">
      <c r="B20" s="17" t="s">
        <v>34</v>
      </c>
      <c r="C20" t="s">
        <v>22</v>
      </c>
      <c r="D20" s="9">
        <f t="shared" si="0"/>
        <v>45627</v>
      </c>
      <c r="E20" s="9">
        <f t="shared" si="1"/>
        <v>45838</v>
      </c>
      <c r="F20">
        <f>+ROUND((E20-D20)/30,0)</f>
        <v>7</v>
      </c>
      <c r="G20">
        <v>10</v>
      </c>
      <c r="H20" s="18">
        <v>100000</v>
      </c>
      <c r="I20" s="18">
        <f>+H20</f>
        <v>100000</v>
      </c>
      <c r="J20" s="19">
        <v>1</v>
      </c>
      <c r="K20" s="11">
        <f>+F20*I20*J20</f>
        <v>700000</v>
      </c>
      <c r="L20" s="37">
        <f>+K20*0.13</f>
        <v>91000</v>
      </c>
    </row>
    <row r="21" spans="2:12" x14ac:dyDescent="0.3">
      <c r="B21" s="42" t="s">
        <v>51</v>
      </c>
      <c r="C21" s="43"/>
      <c r="D21" s="43"/>
      <c r="K21" s="20">
        <f>+K18*0.2-K19-L19-K20-L20</f>
        <v>11536916.596666668</v>
      </c>
    </row>
    <row r="22" spans="2:12" ht="15" thickBot="1" x14ac:dyDescent="0.35">
      <c r="B22" s="26" t="s">
        <v>52</v>
      </c>
      <c r="C22" s="27"/>
      <c r="D22" s="27"/>
      <c r="E22" s="27"/>
      <c r="F22" s="27"/>
      <c r="G22" s="27"/>
      <c r="H22" s="27"/>
      <c r="I22" s="27"/>
      <c r="J22" s="27"/>
      <c r="K22" s="28">
        <f>+K18+K21+K20+L19+K19</f>
        <v>78622499.579999998</v>
      </c>
    </row>
    <row r="23" spans="2:12" x14ac:dyDescent="0.3">
      <c r="I23" t="s">
        <v>53</v>
      </c>
      <c r="K23" s="12" t="str">
        <f>IF($C$5-K22&gt;0,$C$5-K22," ")</f>
        <v xml:space="preserve"> </v>
      </c>
    </row>
    <row r="24" spans="2:12" x14ac:dyDescent="0.3">
      <c r="I24" t="s">
        <v>54</v>
      </c>
      <c r="K24" s="12">
        <f>IF($C$5-K22&lt;0,$C$5-K22," ")</f>
        <v>-3622499.5799999982</v>
      </c>
    </row>
    <row r="25" spans="2:12" x14ac:dyDescent="0.3">
      <c r="K25" s="12"/>
    </row>
    <row r="26" spans="2:12" x14ac:dyDescent="0.3">
      <c r="K26" s="12"/>
    </row>
    <row r="27" spans="2:12" x14ac:dyDescent="0.3">
      <c r="K27" s="12"/>
    </row>
    <row r="28" spans="2:12" x14ac:dyDescent="0.3">
      <c r="K28" s="12"/>
    </row>
    <row r="29" spans="2:12" x14ac:dyDescent="0.3">
      <c r="K29" s="12"/>
    </row>
    <row r="30" spans="2:12" x14ac:dyDescent="0.3">
      <c r="K30" s="12"/>
    </row>
    <row r="31" spans="2:12" x14ac:dyDescent="0.3">
      <c r="K31" s="12"/>
    </row>
    <row r="32" spans="2:12" x14ac:dyDescent="0.3">
      <c r="K32" s="12"/>
    </row>
    <row r="33" spans="1:22" x14ac:dyDescent="0.3">
      <c r="K33" s="12"/>
    </row>
    <row r="34" spans="1:22" x14ac:dyDescent="0.3">
      <c r="K34" s="12"/>
    </row>
    <row r="35" spans="1:22" ht="15" thickBot="1" x14ac:dyDescent="0.35">
      <c r="A35" s="40"/>
      <c r="B35" s="41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</row>
    <row r="36" spans="1:22" ht="43.2" x14ac:dyDescent="0.3">
      <c r="B36" s="13" t="s">
        <v>19</v>
      </c>
      <c r="C36" s="14" t="s">
        <v>20</v>
      </c>
      <c r="D36" s="14" t="s">
        <v>23</v>
      </c>
      <c r="E36" s="14" t="s">
        <v>24</v>
      </c>
      <c r="F36" s="15" t="s">
        <v>30</v>
      </c>
      <c r="G36" s="15" t="s">
        <v>40</v>
      </c>
      <c r="H36" s="15" t="s">
        <v>31</v>
      </c>
      <c r="I36" s="15" t="s">
        <v>41</v>
      </c>
      <c r="J36" s="15" t="s">
        <v>42</v>
      </c>
      <c r="K36" s="15" t="s">
        <v>43</v>
      </c>
      <c r="L36" s="16" t="s">
        <v>44</v>
      </c>
    </row>
    <row r="37" spans="1:22" x14ac:dyDescent="0.3">
      <c r="A37" t="s">
        <v>13</v>
      </c>
      <c r="B37" s="17" t="s">
        <v>16</v>
      </c>
      <c r="C37" t="s">
        <v>21</v>
      </c>
      <c r="D37" s="9">
        <f>$C$6</f>
        <v>45627</v>
      </c>
      <c r="E37" s="9">
        <f>$C$7</f>
        <v>45838</v>
      </c>
      <c r="F37">
        <f>+ROUND((E37-D37)/30,0)</f>
        <v>7</v>
      </c>
      <c r="G37">
        <v>20</v>
      </c>
      <c r="H37" s="18">
        <v>884955</v>
      </c>
      <c r="I37" s="18">
        <f>+H37</f>
        <v>884955</v>
      </c>
      <c r="J37" s="19">
        <v>1</v>
      </c>
      <c r="K37" s="11">
        <f>+F37*I37*J37</f>
        <v>6194685</v>
      </c>
      <c r="L37" s="20">
        <f>+K37*0.13</f>
        <v>805309.05</v>
      </c>
    </row>
    <row r="38" spans="1:22" x14ac:dyDescent="0.3">
      <c r="B38" s="17" t="s">
        <v>17</v>
      </c>
      <c r="C38" t="s">
        <v>21</v>
      </c>
      <c r="D38" s="9">
        <f t="shared" ref="D38:D45" si="6">$C$6</f>
        <v>45627</v>
      </c>
      <c r="E38" s="9">
        <f t="shared" ref="E38:E45" si="7">$C$7</f>
        <v>45838</v>
      </c>
      <c r="F38">
        <f t="shared" ref="F38:F45" si="8">+ROUND((E38-D38)/30,0)</f>
        <v>7</v>
      </c>
      <c r="G38">
        <v>20</v>
      </c>
      <c r="H38" s="18">
        <v>884955</v>
      </c>
      <c r="I38" s="18">
        <f t="shared" ref="I38:I42" si="9">+H38</f>
        <v>884955</v>
      </c>
      <c r="J38" s="19">
        <v>1</v>
      </c>
      <c r="K38" s="11">
        <f t="shared" ref="K38:K45" si="10">+F38*I38*J38</f>
        <v>6194685</v>
      </c>
      <c r="L38" s="20">
        <f t="shared" ref="L38:L45" si="11">+K38*0.13</f>
        <v>805309.05</v>
      </c>
    </row>
    <row r="39" spans="1:22" x14ac:dyDescent="0.3">
      <c r="B39" s="17" t="s">
        <v>18</v>
      </c>
      <c r="C39" t="s">
        <v>22</v>
      </c>
      <c r="D39" s="9">
        <f t="shared" si="6"/>
        <v>45627</v>
      </c>
      <c r="E39" s="9">
        <f t="shared" si="7"/>
        <v>45838</v>
      </c>
      <c r="F39">
        <f t="shared" si="8"/>
        <v>7</v>
      </c>
      <c r="G39">
        <v>20</v>
      </c>
      <c r="H39" s="18">
        <v>884955</v>
      </c>
      <c r="I39" s="18">
        <f t="shared" si="9"/>
        <v>884955</v>
      </c>
      <c r="J39" s="19">
        <v>1</v>
      </c>
      <c r="K39" s="11">
        <f t="shared" si="10"/>
        <v>6194685</v>
      </c>
      <c r="L39" s="20">
        <f t="shared" si="11"/>
        <v>805309.05</v>
      </c>
    </row>
    <row r="40" spans="1:22" x14ac:dyDescent="0.3">
      <c r="B40" s="17" t="s">
        <v>32</v>
      </c>
      <c r="C40" t="s">
        <v>22</v>
      </c>
      <c r="D40" s="9">
        <f t="shared" si="6"/>
        <v>45627</v>
      </c>
      <c r="E40" s="9">
        <f t="shared" si="7"/>
        <v>45838</v>
      </c>
      <c r="F40">
        <f t="shared" si="8"/>
        <v>7</v>
      </c>
      <c r="G40">
        <v>20</v>
      </c>
      <c r="H40" s="18">
        <v>884955</v>
      </c>
      <c r="I40" s="18">
        <f t="shared" si="9"/>
        <v>884955</v>
      </c>
      <c r="J40" s="19">
        <v>1</v>
      </c>
      <c r="K40" s="11">
        <f t="shared" si="10"/>
        <v>6194685</v>
      </c>
      <c r="L40" s="20">
        <f t="shared" si="11"/>
        <v>805309.05</v>
      </c>
    </row>
    <row r="41" spans="1:22" ht="28.8" x14ac:dyDescent="0.3">
      <c r="B41" s="17" t="s">
        <v>35</v>
      </c>
      <c r="C41" t="s">
        <v>22</v>
      </c>
      <c r="D41" s="9">
        <f t="shared" si="6"/>
        <v>45627</v>
      </c>
      <c r="E41" s="9">
        <f t="shared" si="7"/>
        <v>45838</v>
      </c>
      <c r="F41">
        <f t="shared" si="8"/>
        <v>7</v>
      </c>
      <c r="G41">
        <v>10</v>
      </c>
      <c r="H41" s="18">
        <v>100000</v>
      </c>
      <c r="I41" s="18">
        <f t="shared" si="9"/>
        <v>100000</v>
      </c>
      <c r="J41" s="19">
        <v>1</v>
      </c>
      <c r="K41" s="11">
        <f t="shared" si="10"/>
        <v>700000</v>
      </c>
      <c r="L41" s="20">
        <f t="shared" si="11"/>
        <v>91000</v>
      </c>
    </row>
    <row r="42" spans="1:22" ht="28.8" x14ac:dyDescent="0.3">
      <c r="B42" s="17" t="s">
        <v>36</v>
      </c>
      <c r="C42" t="s">
        <v>22</v>
      </c>
      <c r="D42" s="9">
        <f t="shared" si="6"/>
        <v>45627</v>
      </c>
      <c r="E42" s="9">
        <f t="shared" si="7"/>
        <v>45838</v>
      </c>
      <c r="F42">
        <f t="shared" si="8"/>
        <v>7</v>
      </c>
      <c r="G42">
        <v>10</v>
      </c>
      <c r="H42" s="18">
        <v>100000</v>
      </c>
      <c r="I42" s="18">
        <f t="shared" si="9"/>
        <v>100000</v>
      </c>
      <c r="J42" s="19">
        <v>1</v>
      </c>
      <c r="K42" s="11">
        <f t="shared" si="10"/>
        <v>700000</v>
      </c>
      <c r="L42" s="20">
        <f t="shared" si="11"/>
        <v>91000</v>
      </c>
    </row>
    <row r="43" spans="1:22" x14ac:dyDescent="0.3">
      <c r="B43" s="17" t="s">
        <v>38</v>
      </c>
      <c r="C43" t="s">
        <v>39</v>
      </c>
      <c r="D43" s="9">
        <f t="shared" si="6"/>
        <v>45627</v>
      </c>
      <c r="E43" s="9">
        <f t="shared" si="7"/>
        <v>45838</v>
      </c>
      <c r="F43">
        <f t="shared" si="8"/>
        <v>7</v>
      </c>
      <c r="G43">
        <v>30</v>
      </c>
      <c r="H43" s="21">
        <v>950000</v>
      </c>
      <c r="I43" s="21">
        <v>796460</v>
      </c>
      <c r="J43" s="19">
        <f>+G43/40</f>
        <v>0.75</v>
      </c>
      <c r="K43" s="11">
        <f t="shared" si="10"/>
        <v>4181415</v>
      </c>
      <c r="L43" s="20">
        <f t="shared" si="11"/>
        <v>543583.95000000007</v>
      </c>
    </row>
    <row r="44" spans="1:22" x14ac:dyDescent="0.3">
      <c r="B44" s="17" t="s">
        <v>37</v>
      </c>
      <c r="C44" t="s">
        <v>39</v>
      </c>
      <c r="D44" s="9">
        <f t="shared" si="6"/>
        <v>45627</v>
      </c>
      <c r="E44" s="9">
        <f t="shared" si="7"/>
        <v>45838</v>
      </c>
      <c r="F44">
        <f t="shared" ref="F44" si="12">+ROUND((E44-D44)/30,0)</f>
        <v>7</v>
      </c>
      <c r="G44">
        <v>30</v>
      </c>
      <c r="H44" s="18">
        <v>650000</v>
      </c>
      <c r="I44" s="18">
        <v>650000</v>
      </c>
      <c r="J44" s="19">
        <f>+G44/40</f>
        <v>0.75</v>
      </c>
      <c r="K44" s="11">
        <f t="shared" ref="K44" si="13">+F44*I44*J44</f>
        <v>3412500</v>
      </c>
      <c r="L44" s="20">
        <f t="shared" si="11"/>
        <v>443625</v>
      </c>
    </row>
    <row r="45" spans="1:22" x14ac:dyDescent="0.3">
      <c r="B45" s="30" t="s">
        <v>55</v>
      </c>
      <c r="C45" s="29" t="s">
        <v>39</v>
      </c>
      <c r="D45" s="31">
        <f t="shared" si="6"/>
        <v>45627</v>
      </c>
      <c r="E45" s="31">
        <f t="shared" si="7"/>
        <v>45838</v>
      </c>
      <c r="F45" s="29">
        <f t="shared" si="8"/>
        <v>7</v>
      </c>
      <c r="G45" s="29">
        <v>0</v>
      </c>
      <c r="H45" s="21">
        <v>1000000</v>
      </c>
      <c r="I45" s="21">
        <v>796460</v>
      </c>
      <c r="J45" s="32">
        <f>+G45/40</f>
        <v>0</v>
      </c>
      <c r="K45" s="33">
        <f t="shared" si="10"/>
        <v>0</v>
      </c>
      <c r="L45" s="34">
        <f t="shared" si="11"/>
        <v>0</v>
      </c>
    </row>
    <row r="46" spans="1:22" ht="15" thickBot="1" x14ac:dyDescent="0.35">
      <c r="B46" s="26" t="s">
        <v>46</v>
      </c>
      <c r="C46" s="27"/>
      <c r="D46" s="27"/>
      <c r="E46" s="27"/>
      <c r="F46" s="27"/>
      <c r="G46" s="27"/>
      <c r="H46" s="27"/>
      <c r="I46" s="27"/>
      <c r="J46" s="27"/>
      <c r="K46" s="35">
        <f>SUM(K37:K45)</f>
        <v>33772655</v>
      </c>
      <c r="L46" s="28">
        <f>SUM(L37:L45)</f>
        <v>4390445.1500000004</v>
      </c>
    </row>
    <row r="47" spans="1:22" ht="15" thickBot="1" x14ac:dyDescent="0.35">
      <c r="K47" s="11"/>
      <c r="L47" s="11"/>
    </row>
    <row r="48" spans="1:22" x14ac:dyDescent="0.3">
      <c r="B48" s="46" t="s">
        <v>47</v>
      </c>
      <c r="C48" s="47"/>
      <c r="D48" s="22"/>
      <c r="E48" s="22"/>
      <c r="F48" s="22"/>
      <c r="G48" s="22"/>
      <c r="H48" s="22"/>
      <c r="I48" s="22"/>
      <c r="J48" s="22"/>
      <c r="K48" s="23">
        <f>+K46+L46</f>
        <v>38163100.149999999</v>
      </c>
      <c r="L48" s="11"/>
    </row>
    <row r="49" spans="1:22" x14ac:dyDescent="0.3">
      <c r="B49" s="42" t="s">
        <v>48</v>
      </c>
      <c r="C49" s="43"/>
      <c r="K49" s="20">
        <v>15000000</v>
      </c>
    </row>
    <row r="50" spans="1:22" x14ac:dyDescent="0.3">
      <c r="B50" s="42" t="s">
        <v>49</v>
      </c>
      <c r="C50" s="43"/>
      <c r="K50" s="20">
        <f>12000000*1.27</f>
        <v>15240000</v>
      </c>
    </row>
    <row r="51" spans="1:22" x14ac:dyDescent="0.3">
      <c r="B51" s="44" t="s">
        <v>50</v>
      </c>
      <c r="C51" s="45"/>
      <c r="D51" s="24"/>
      <c r="E51" s="24"/>
      <c r="F51" s="24"/>
      <c r="G51" s="24"/>
      <c r="H51" s="24"/>
      <c r="I51" s="24"/>
      <c r="J51" s="24"/>
      <c r="K51" s="25">
        <f>+K48+K49+K50</f>
        <v>68403100.150000006</v>
      </c>
    </row>
    <row r="52" spans="1:22" x14ac:dyDescent="0.3">
      <c r="B52" s="42" t="s">
        <v>51</v>
      </c>
      <c r="C52" s="43"/>
      <c r="D52" s="43"/>
      <c r="K52" s="20">
        <f>+K51*0.2</f>
        <v>13680620.030000001</v>
      </c>
    </row>
    <row r="53" spans="1:22" ht="15" thickBot="1" x14ac:dyDescent="0.35">
      <c r="B53" s="26" t="s">
        <v>52</v>
      </c>
      <c r="C53" s="27"/>
      <c r="D53" s="27"/>
      <c r="E53" s="27"/>
      <c r="F53" s="27"/>
      <c r="G53" s="27"/>
      <c r="H53" s="27"/>
      <c r="I53" s="27"/>
      <c r="J53" s="27"/>
      <c r="K53" s="28">
        <f>+K51+K52</f>
        <v>82083720.180000007</v>
      </c>
    </row>
    <row r="54" spans="1:22" x14ac:dyDescent="0.3">
      <c r="I54" t="s">
        <v>53</v>
      </c>
      <c r="K54" s="29" t="str">
        <f>IF(C5-K53&gt;0,C5-K53," ")</f>
        <v xml:space="preserve"> </v>
      </c>
    </row>
    <row r="55" spans="1:22" x14ac:dyDescent="0.3">
      <c r="I55" t="s">
        <v>54</v>
      </c>
      <c r="K55" s="12">
        <f>IF(C5-K53&lt;0,C5-K53," ")</f>
        <v>-7083720.1800000072</v>
      </c>
    </row>
    <row r="59" spans="1:22" ht="15" thickBot="1" x14ac:dyDescent="0.35">
      <c r="A59" s="40"/>
      <c r="B59" s="41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</row>
    <row r="60" spans="1:22" ht="43.2" x14ac:dyDescent="0.3">
      <c r="B60" s="13" t="s">
        <v>19</v>
      </c>
      <c r="C60" s="14" t="s">
        <v>20</v>
      </c>
      <c r="D60" s="14" t="s">
        <v>23</v>
      </c>
      <c r="E60" s="14" t="s">
        <v>24</v>
      </c>
      <c r="F60" s="15" t="s">
        <v>30</v>
      </c>
      <c r="G60" s="15" t="s">
        <v>40</v>
      </c>
      <c r="H60" s="15" t="s">
        <v>31</v>
      </c>
      <c r="I60" s="15" t="s">
        <v>41</v>
      </c>
      <c r="J60" s="15" t="s">
        <v>42</v>
      </c>
      <c r="K60" s="15" t="s">
        <v>43</v>
      </c>
      <c r="L60" s="16" t="s">
        <v>44</v>
      </c>
    </row>
    <row r="61" spans="1:22" x14ac:dyDescent="0.3">
      <c r="B61" s="17" t="s">
        <v>16</v>
      </c>
      <c r="C61" t="s">
        <v>21</v>
      </c>
      <c r="D61" s="9">
        <f>$C$6</f>
        <v>45627</v>
      </c>
      <c r="E61" s="9">
        <v>45808</v>
      </c>
      <c r="F61" s="38">
        <f t="shared" ref="F61:F64" si="14">+ROUND((E61-D61)/30,0)</f>
        <v>6</v>
      </c>
      <c r="G61">
        <v>20</v>
      </c>
      <c r="H61" s="18">
        <v>884955</v>
      </c>
      <c r="I61" s="18">
        <f>+H61</f>
        <v>884955</v>
      </c>
      <c r="J61" s="19">
        <v>1</v>
      </c>
      <c r="K61" s="11">
        <f>+ROUND(F61*I61*J61,0)</f>
        <v>5309730</v>
      </c>
      <c r="L61" s="20">
        <f>+ROUND(K61*0.13,0)</f>
        <v>690265</v>
      </c>
    </row>
    <row r="62" spans="1:22" x14ac:dyDescent="0.3">
      <c r="B62" s="17" t="s">
        <v>17</v>
      </c>
      <c r="C62" t="s">
        <v>21</v>
      </c>
      <c r="D62" s="9">
        <f t="shared" ref="D62:D69" si="15">$C$6</f>
        <v>45627</v>
      </c>
      <c r="E62" s="9">
        <v>45808</v>
      </c>
      <c r="F62" s="38">
        <f t="shared" si="14"/>
        <v>6</v>
      </c>
      <c r="G62">
        <v>20</v>
      </c>
      <c r="H62" s="18">
        <v>884955</v>
      </c>
      <c r="I62" s="18">
        <f t="shared" ref="I62:I66" si="16">+H62</f>
        <v>884955</v>
      </c>
      <c r="J62" s="19">
        <v>1</v>
      </c>
      <c r="K62" s="11">
        <f t="shared" ref="K62:K69" si="17">+ROUND(F62*I62*J62,0)</f>
        <v>5309730</v>
      </c>
      <c r="L62" s="20">
        <f t="shared" ref="L62:L69" si="18">+ROUND(K62*0.13,0)</f>
        <v>690265</v>
      </c>
    </row>
    <row r="63" spans="1:22" x14ac:dyDescent="0.3">
      <c r="B63" s="17" t="s">
        <v>18</v>
      </c>
      <c r="C63" t="s">
        <v>22</v>
      </c>
      <c r="D63" s="9">
        <f t="shared" si="15"/>
        <v>45627</v>
      </c>
      <c r="E63" s="9">
        <v>45808</v>
      </c>
      <c r="F63" s="38">
        <f t="shared" si="14"/>
        <v>6</v>
      </c>
      <c r="G63">
        <v>20</v>
      </c>
      <c r="H63" s="18">
        <v>884955</v>
      </c>
      <c r="I63" s="18">
        <f t="shared" si="16"/>
        <v>884955</v>
      </c>
      <c r="J63" s="19">
        <v>1</v>
      </c>
      <c r="K63" s="11">
        <f t="shared" si="17"/>
        <v>5309730</v>
      </c>
      <c r="L63" s="20">
        <f t="shared" si="18"/>
        <v>690265</v>
      </c>
    </row>
    <row r="64" spans="1:22" x14ac:dyDescent="0.3">
      <c r="B64" s="17" t="s">
        <v>32</v>
      </c>
      <c r="C64" t="s">
        <v>22</v>
      </c>
      <c r="D64" s="9">
        <f t="shared" si="15"/>
        <v>45627</v>
      </c>
      <c r="E64" s="9">
        <v>45808</v>
      </c>
      <c r="F64" s="38">
        <f t="shared" si="14"/>
        <v>6</v>
      </c>
      <c r="G64">
        <v>20</v>
      </c>
      <c r="H64" s="18">
        <v>884955</v>
      </c>
      <c r="I64" s="18">
        <f t="shared" si="16"/>
        <v>884955</v>
      </c>
      <c r="J64" s="19">
        <v>1</v>
      </c>
      <c r="K64" s="11">
        <f t="shared" si="17"/>
        <v>5309730</v>
      </c>
      <c r="L64" s="20">
        <f t="shared" si="18"/>
        <v>690265</v>
      </c>
    </row>
    <row r="65" spans="2:13" ht="28.8" x14ac:dyDescent="0.3">
      <c r="B65" s="17" t="s">
        <v>35</v>
      </c>
      <c r="C65" t="s">
        <v>22</v>
      </c>
      <c r="D65" s="9">
        <f t="shared" si="15"/>
        <v>45627</v>
      </c>
      <c r="E65" s="9">
        <f t="shared" ref="E65:E69" si="19">$C$7</f>
        <v>45838</v>
      </c>
      <c r="F65">
        <f t="shared" ref="F65:F69" si="20">+ROUND((E65-D65)/30,0)</f>
        <v>7</v>
      </c>
      <c r="G65">
        <v>10</v>
      </c>
      <c r="H65" s="18">
        <v>100000</v>
      </c>
      <c r="I65" s="18">
        <f t="shared" si="16"/>
        <v>100000</v>
      </c>
      <c r="J65" s="19">
        <v>1</v>
      </c>
      <c r="K65" s="11">
        <f t="shared" si="17"/>
        <v>700000</v>
      </c>
      <c r="L65" s="20">
        <f t="shared" si="18"/>
        <v>91000</v>
      </c>
    </row>
    <row r="66" spans="2:13" ht="28.8" x14ac:dyDescent="0.3">
      <c r="B66" s="17" t="s">
        <v>36</v>
      </c>
      <c r="C66" t="s">
        <v>22</v>
      </c>
      <c r="D66" s="9">
        <f t="shared" si="15"/>
        <v>45627</v>
      </c>
      <c r="E66" s="9">
        <f t="shared" si="19"/>
        <v>45838</v>
      </c>
      <c r="F66">
        <f t="shared" si="20"/>
        <v>7</v>
      </c>
      <c r="G66">
        <v>10</v>
      </c>
      <c r="H66" s="18">
        <v>100000</v>
      </c>
      <c r="I66" s="18">
        <f t="shared" si="16"/>
        <v>100000</v>
      </c>
      <c r="J66" s="19">
        <v>1</v>
      </c>
      <c r="K66" s="11">
        <f t="shared" si="17"/>
        <v>700000</v>
      </c>
      <c r="L66" s="20">
        <f t="shared" si="18"/>
        <v>91000</v>
      </c>
    </row>
    <row r="67" spans="2:13" x14ac:dyDescent="0.3">
      <c r="B67" s="17" t="s">
        <v>38</v>
      </c>
      <c r="C67" t="s">
        <v>39</v>
      </c>
      <c r="D67" s="9">
        <f t="shared" si="15"/>
        <v>45627</v>
      </c>
      <c r="E67" s="9">
        <f t="shared" si="19"/>
        <v>45838</v>
      </c>
      <c r="F67">
        <f t="shared" si="20"/>
        <v>7</v>
      </c>
      <c r="G67" s="38">
        <v>25</v>
      </c>
      <c r="H67" s="21">
        <v>950000</v>
      </c>
      <c r="I67" s="21">
        <v>796460</v>
      </c>
      <c r="J67" s="19">
        <f>+G67/40</f>
        <v>0.625</v>
      </c>
      <c r="K67" s="11">
        <f t="shared" si="17"/>
        <v>3484513</v>
      </c>
      <c r="L67" s="20">
        <f t="shared" si="18"/>
        <v>452987</v>
      </c>
    </row>
    <row r="68" spans="2:13" x14ac:dyDescent="0.3">
      <c r="B68" s="17" t="s">
        <v>37</v>
      </c>
      <c r="C68" t="s">
        <v>39</v>
      </c>
      <c r="D68" s="9">
        <f t="shared" si="15"/>
        <v>45627</v>
      </c>
      <c r="E68" s="9">
        <f t="shared" si="19"/>
        <v>45838</v>
      </c>
      <c r="F68">
        <f t="shared" si="20"/>
        <v>7</v>
      </c>
      <c r="G68" s="38">
        <v>20</v>
      </c>
      <c r="H68" s="18">
        <v>650000</v>
      </c>
      <c r="I68" s="18">
        <v>650000</v>
      </c>
      <c r="J68" s="19">
        <f>+G68/40</f>
        <v>0.5</v>
      </c>
      <c r="K68" s="11">
        <f t="shared" si="17"/>
        <v>2275000</v>
      </c>
      <c r="L68" s="20">
        <f t="shared" si="18"/>
        <v>295750</v>
      </c>
    </row>
    <row r="69" spans="2:13" x14ac:dyDescent="0.3">
      <c r="B69" s="30" t="s">
        <v>55</v>
      </c>
      <c r="C69" s="29" t="s">
        <v>39</v>
      </c>
      <c r="D69" s="31">
        <f t="shared" si="15"/>
        <v>45627</v>
      </c>
      <c r="E69" s="31">
        <f t="shared" si="19"/>
        <v>45838</v>
      </c>
      <c r="F69" s="29">
        <f t="shared" si="20"/>
        <v>7</v>
      </c>
      <c r="G69" s="29">
        <v>0</v>
      </c>
      <c r="H69" s="21">
        <v>1000000</v>
      </c>
      <c r="I69" s="21">
        <v>796460</v>
      </c>
      <c r="J69" s="32">
        <f>+G69/40</f>
        <v>0</v>
      </c>
      <c r="K69" s="11">
        <f t="shared" si="17"/>
        <v>0</v>
      </c>
      <c r="L69" s="20">
        <f t="shared" si="18"/>
        <v>0</v>
      </c>
    </row>
    <row r="70" spans="2:13" ht="15" thickBot="1" x14ac:dyDescent="0.35">
      <c r="B70" s="26" t="s">
        <v>46</v>
      </c>
      <c r="C70" s="27"/>
      <c r="D70" s="27"/>
      <c r="E70" s="27"/>
      <c r="F70" s="27"/>
      <c r="G70" s="27"/>
      <c r="H70" s="27"/>
      <c r="I70" s="27"/>
      <c r="J70" s="27"/>
      <c r="K70" s="35">
        <f>SUM(K61:K69)</f>
        <v>28398433</v>
      </c>
      <c r="L70" s="28">
        <f>SUM(L61:L69)</f>
        <v>3691797</v>
      </c>
    </row>
    <row r="71" spans="2:13" ht="15" thickBot="1" x14ac:dyDescent="0.35">
      <c r="K71" s="11"/>
      <c r="L71" s="11"/>
    </row>
    <row r="72" spans="2:13" x14ac:dyDescent="0.3">
      <c r="B72" s="46" t="s">
        <v>47</v>
      </c>
      <c r="C72" s="47"/>
      <c r="D72" s="22"/>
      <c r="E72" s="22"/>
      <c r="F72" s="22"/>
      <c r="G72" s="22"/>
      <c r="H72" s="22"/>
      <c r="I72" s="22"/>
      <c r="J72" s="22"/>
      <c r="K72" s="23">
        <f>+K70+L70</f>
        <v>32090230</v>
      </c>
      <c r="L72" s="11"/>
    </row>
    <row r="73" spans="2:13" x14ac:dyDescent="0.3">
      <c r="B73" s="42" t="s">
        <v>48</v>
      </c>
      <c r="C73" s="43"/>
      <c r="K73" s="39">
        <f>15000000+203724/1.2</f>
        <v>15169770</v>
      </c>
      <c r="M73" t="s">
        <v>58</v>
      </c>
    </row>
    <row r="74" spans="2:13" x14ac:dyDescent="0.3">
      <c r="B74" s="42" t="s">
        <v>49</v>
      </c>
      <c r="C74" s="43"/>
      <c r="K74" s="20">
        <f>12000000*1.27</f>
        <v>15240000</v>
      </c>
    </row>
    <row r="75" spans="2:13" x14ac:dyDescent="0.3">
      <c r="B75" s="44" t="s">
        <v>50</v>
      </c>
      <c r="C75" s="45"/>
      <c r="D75" s="24"/>
      <c r="E75" s="24"/>
      <c r="F75" s="24"/>
      <c r="G75" s="24"/>
      <c r="H75" s="24"/>
      <c r="I75" s="24"/>
      <c r="J75" s="24"/>
      <c r="K75" s="25">
        <f>+K72+K73+K74</f>
        <v>62500000</v>
      </c>
    </row>
    <row r="76" spans="2:13" x14ac:dyDescent="0.3">
      <c r="B76" s="42" t="s">
        <v>51</v>
      </c>
      <c r="C76" s="43"/>
      <c r="D76" s="43"/>
      <c r="K76" s="20">
        <f>+K75*0.2</f>
        <v>12500000</v>
      </c>
      <c r="M76">
        <f>1505309+2007079</f>
        <v>3512388</v>
      </c>
    </row>
    <row r="77" spans="2:13" ht="15" thickBot="1" x14ac:dyDescent="0.35">
      <c r="B77" s="26" t="s">
        <v>52</v>
      </c>
      <c r="C77" s="27"/>
      <c r="D77" s="27"/>
      <c r="E77" s="27"/>
      <c r="F77" s="27"/>
      <c r="G77" s="27"/>
      <c r="H77" s="27"/>
      <c r="I77" s="27"/>
      <c r="J77" s="27"/>
      <c r="K77" s="28">
        <f>+K75+K76</f>
        <v>75000000</v>
      </c>
    </row>
    <row r="78" spans="2:13" x14ac:dyDescent="0.3">
      <c r="I78" t="s">
        <v>53</v>
      </c>
      <c r="K78" s="12" t="str">
        <f>IF($C$5-K77&gt;0,$C$5-K77," ")</f>
        <v xml:space="preserve"> </v>
      </c>
    </row>
    <row r="79" spans="2:13" x14ac:dyDescent="0.3">
      <c r="I79" t="s">
        <v>54</v>
      </c>
      <c r="K79" s="12" t="str">
        <f>IF($C$5-K77&lt;0,$C$5-K77," ")</f>
        <v xml:space="preserve"> </v>
      </c>
    </row>
  </sheetData>
  <mergeCells count="15">
    <mergeCell ref="B73:C73"/>
    <mergeCell ref="B74:C74"/>
    <mergeCell ref="B75:C75"/>
    <mergeCell ref="B76:D76"/>
    <mergeCell ref="B15:C15"/>
    <mergeCell ref="B16:C16"/>
    <mergeCell ref="B17:C17"/>
    <mergeCell ref="B18:C18"/>
    <mergeCell ref="B21:D21"/>
    <mergeCell ref="B72:C72"/>
    <mergeCell ref="B48:C48"/>
    <mergeCell ref="B49:C49"/>
    <mergeCell ref="B50:C50"/>
    <mergeCell ref="B51:C51"/>
    <mergeCell ref="B52:D52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Q12" sqref="Q12"/>
    </sheetView>
  </sheetViews>
  <sheetFormatPr defaultRowHeight="14.4" x14ac:dyDescent="0.3"/>
  <sheetData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5"/>
  <sheetViews>
    <sheetView workbookViewId="0">
      <selection activeCell="A3" sqref="A3:N4"/>
    </sheetView>
  </sheetViews>
  <sheetFormatPr defaultColWidth="24.88671875" defaultRowHeight="14.4" x14ac:dyDescent="0.3"/>
  <cols>
    <col min="1" max="1" width="18.109375" style="1" customWidth="1"/>
    <col min="2" max="2" width="24.88671875" style="1"/>
    <col min="3" max="3" width="10.44140625" style="1" bestFit="1" customWidth="1"/>
    <col min="4" max="4" width="24.5546875" style="1" bestFit="1" customWidth="1"/>
    <col min="5" max="5" width="14.6640625" style="1" bestFit="1" customWidth="1"/>
    <col min="6" max="6" width="7.33203125" style="1" bestFit="1" customWidth="1"/>
    <col min="7" max="7" width="12.44140625" style="1" bestFit="1" customWidth="1"/>
    <col min="8" max="8" width="10.88671875" style="1" bestFit="1" customWidth="1"/>
    <col min="9" max="9" width="12.44140625" style="1" bestFit="1" customWidth="1"/>
    <col min="10" max="10" width="11.44140625" style="1" customWidth="1"/>
    <col min="11" max="11" width="11.88671875" style="1" bestFit="1" customWidth="1"/>
    <col min="12" max="12" width="11.33203125" style="1" customWidth="1"/>
    <col min="13" max="13" width="9" style="1" customWidth="1"/>
    <col min="14" max="14" width="22.88671875" style="1" customWidth="1"/>
    <col min="15" max="16384" width="24.88671875" style="1"/>
  </cols>
  <sheetData>
    <row r="1" spans="1:14" ht="46.5" customHeight="1" x14ac:dyDescent="0.3">
      <c r="A1" s="48" t="s">
        <v>11</v>
      </c>
      <c r="B1" s="48"/>
      <c r="C1" s="48"/>
      <c r="D1" s="48"/>
      <c r="E1" s="48"/>
    </row>
    <row r="2" spans="1:14" ht="78.75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14</v>
      </c>
      <c r="H2" s="2" t="s">
        <v>15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12</v>
      </c>
    </row>
    <row r="3" spans="1:14" x14ac:dyDescent="0.3">
      <c r="A3" s="3"/>
      <c r="B3" s="3"/>
      <c r="C3" s="4"/>
      <c r="D3" s="3"/>
      <c r="E3" s="3"/>
      <c r="F3" s="3"/>
      <c r="G3" s="3"/>
      <c r="H3" s="5"/>
      <c r="I3" s="6"/>
      <c r="J3" s="7"/>
      <c r="K3" s="7"/>
      <c r="L3" s="7"/>
      <c r="M3" s="8"/>
      <c r="N3" s="3"/>
    </row>
    <row r="4" spans="1:14" x14ac:dyDescent="0.3">
      <c r="A4" s="3"/>
      <c r="B4" s="3"/>
      <c r="C4" s="4"/>
      <c r="D4" s="3"/>
      <c r="E4" s="3"/>
      <c r="F4" s="3"/>
      <c r="G4" s="3"/>
      <c r="H4" s="5"/>
      <c r="I4" s="6"/>
      <c r="J4" s="7"/>
      <c r="K4" s="7"/>
      <c r="L4" s="7"/>
      <c r="M4" s="8"/>
      <c r="N4" s="3"/>
    </row>
    <row r="5" spans="1:14" x14ac:dyDescent="0.3">
      <c r="A5" s="3"/>
      <c r="B5" s="3"/>
      <c r="C5" s="4"/>
      <c r="D5" s="3"/>
      <c r="E5" s="3"/>
      <c r="F5" s="3"/>
      <c r="G5" s="3"/>
      <c r="H5" s="5"/>
      <c r="I5" s="6"/>
      <c r="J5" s="7"/>
      <c r="K5" s="7"/>
      <c r="L5" s="7"/>
      <c r="M5" s="8"/>
      <c r="N5" s="3"/>
    </row>
    <row r="6" spans="1:14" x14ac:dyDescent="0.3">
      <c r="A6" s="3"/>
      <c r="B6" s="3"/>
      <c r="C6" s="4"/>
      <c r="D6" s="3"/>
      <c r="E6" s="3"/>
      <c r="F6" s="3"/>
      <c r="G6" s="3"/>
      <c r="H6" s="5"/>
      <c r="I6" s="6"/>
      <c r="J6" s="7"/>
      <c r="K6" s="7"/>
      <c r="L6" s="7"/>
      <c r="M6" s="8"/>
      <c r="N6" s="3"/>
    </row>
    <row r="7" spans="1:14" x14ac:dyDescent="0.3">
      <c r="A7" s="3"/>
      <c r="B7" s="3"/>
      <c r="C7" s="4"/>
      <c r="D7" s="3"/>
      <c r="E7" s="3"/>
      <c r="F7" s="3"/>
      <c r="G7" s="3"/>
      <c r="H7" s="5"/>
      <c r="I7" s="6"/>
      <c r="J7" s="7"/>
      <c r="K7" s="7"/>
      <c r="L7" s="7"/>
      <c r="M7" s="7"/>
      <c r="N7" s="3"/>
    </row>
    <row r="8" spans="1:14" x14ac:dyDescent="0.3">
      <c r="A8" s="3"/>
      <c r="B8" s="3"/>
      <c r="C8" s="4"/>
      <c r="D8" s="3"/>
      <c r="E8" s="3"/>
      <c r="F8" s="3"/>
      <c r="G8" s="3"/>
      <c r="H8" s="5"/>
      <c r="I8" s="6"/>
      <c r="J8" s="7"/>
      <c r="K8" s="7"/>
      <c r="L8" s="7"/>
      <c r="M8" s="8"/>
      <c r="N8" s="3"/>
    </row>
    <row r="9" spans="1:14" x14ac:dyDescent="0.3">
      <c r="A9" s="3"/>
      <c r="B9" s="3"/>
      <c r="C9" s="4"/>
      <c r="D9" s="3"/>
      <c r="E9" s="3"/>
      <c r="F9" s="3"/>
      <c r="G9" s="3"/>
      <c r="H9" s="5"/>
      <c r="I9" s="6"/>
      <c r="J9" s="7"/>
      <c r="K9" s="7"/>
      <c r="L9" s="7"/>
      <c r="M9" s="8"/>
      <c r="N9" s="3"/>
    </row>
    <row r="10" spans="1:14" x14ac:dyDescent="0.3">
      <c r="A10" s="3"/>
      <c r="B10" s="3"/>
      <c r="C10" s="4"/>
      <c r="D10" s="3"/>
      <c r="E10" s="3"/>
      <c r="F10" s="3"/>
      <c r="G10" s="3"/>
      <c r="H10" s="5"/>
      <c r="I10" s="6"/>
      <c r="J10" s="7"/>
      <c r="K10" s="7"/>
      <c r="L10" s="7"/>
      <c r="M10" s="8"/>
      <c r="N10" s="3"/>
    </row>
    <row r="11" spans="1:14" x14ac:dyDescent="0.3">
      <c r="A11" s="3"/>
      <c r="B11" s="3"/>
      <c r="C11" s="4"/>
      <c r="D11" s="3"/>
      <c r="E11" s="3"/>
      <c r="F11" s="3"/>
      <c r="G11" s="3"/>
      <c r="H11" s="5"/>
      <c r="I11" s="6"/>
      <c r="J11" s="7"/>
      <c r="K11" s="7"/>
      <c r="L11" s="7"/>
      <c r="M11" s="8"/>
      <c r="N11" s="3"/>
    </row>
    <row r="12" spans="1:14" x14ac:dyDescent="0.3">
      <c r="A12" s="3"/>
      <c r="B12" s="3"/>
      <c r="C12" s="4"/>
      <c r="D12" s="3"/>
      <c r="E12" s="3"/>
      <c r="F12" s="3"/>
      <c r="G12" s="3"/>
      <c r="H12" s="5"/>
      <c r="I12" s="6"/>
      <c r="J12" s="7"/>
      <c r="K12" s="7"/>
      <c r="L12" s="7"/>
      <c r="M12" s="8"/>
      <c r="N12" s="3"/>
    </row>
    <row r="13" spans="1:14" x14ac:dyDescent="0.3">
      <c r="A13" s="3"/>
      <c r="B13" s="3"/>
      <c r="C13" s="4"/>
      <c r="D13" s="3"/>
      <c r="E13" s="3"/>
      <c r="F13" s="3"/>
      <c r="G13" s="3"/>
      <c r="H13" s="5"/>
      <c r="I13" s="6"/>
      <c r="J13" s="7"/>
      <c r="K13" s="7"/>
      <c r="L13" s="7"/>
      <c r="M13" s="8"/>
      <c r="N13" s="3"/>
    </row>
    <row r="14" spans="1:14" x14ac:dyDescent="0.3">
      <c r="A14" s="3"/>
      <c r="B14" s="3"/>
      <c r="C14" s="4"/>
      <c r="D14" s="3"/>
      <c r="E14" s="3"/>
      <c r="F14" s="3"/>
      <c r="G14" s="3"/>
      <c r="H14" s="5"/>
      <c r="I14" s="6"/>
      <c r="J14" s="7"/>
      <c r="K14" s="7"/>
      <c r="L14" s="7"/>
      <c r="M14" s="8"/>
      <c r="N14" s="3"/>
    </row>
    <row r="15" spans="1:14" x14ac:dyDescent="0.3">
      <c r="A15" s="3"/>
      <c r="B15" s="3"/>
      <c r="C15" s="4"/>
      <c r="D15" s="3"/>
      <c r="E15" s="3"/>
      <c r="F15" s="3"/>
      <c r="G15" s="3"/>
      <c r="H15" s="5"/>
      <c r="I15" s="6"/>
      <c r="J15" s="7"/>
      <c r="K15" s="7"/>
      <c r="L15" s="7"/>
      <c r="M15" s="8"/>
      <c r="N15" s="3"/>
    </row>
  </sheetData>
  <mergeCells count="1">
    <mergeCell ref="A1:E1"/>
  </mergeCells>
  <pageMargins left="0.23622047244094491" right="0.23622047244094491" top="0.74803149606299213" bottom="0.74803149606299213" header="0.31496062992125984" footer="0.31496062992125984"/>
  <pageSetup paperSize="8" scale="93" orientation="landscape" r:id="rId1"/>
  <headerFooter>
    <oddFooter>&amp;L&amp;F&amp;C&amp;P/&amp;N&amp;R&amp;D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5CBD0-A879-418D-8EB3-2EE7049FFDC9}">
  <dimension ref="A1:C4"/>
  <sheetViews>
    <sheetView workbookViewId="0">
      <selection activeCell="C3" sqref="C3"/>
    </sheetView>
  </sheetViews>
  <sheetFormatPr defaultRowHeight="14.4" x14ac:dyDescent="0.3"/>
  <cols>
    <col min="1" max="1" width="12.21875" customWidth="1"/>
    <col min="2" max="2" width="11.21875" customWidth="1"/>
    <col min="3" max="3" width="12.5546875" customWidth="1"/>
  </cols>
  <sheetData>
    <row r="1" spans="1:3" x14ac:dyDescent="0.3">
      <c r="A1" t="s">
        <v>59</v>
      </c>
      <c r="B1" t="s">
        <v>60</v>
      </c>
      <c r="C1" t="s">
        <v>61</v>
      </c>
    </row>
    <row r="2" spans="1:3" x14ac:dyDescent="0.3">
      <c r="A2" s="9">
        <v>45641</v>
      </c>
      <c r="B2" t="s">
        <v>62</v>
      </c>
      <c r="C2">
        <f>75000000*0.4</f>
        <v>30000000</v>
      </c>
    </row>
    <row r="3" spans="1:3" x14ac:dyDescent="0.3">
      <c r="A3" s="9">
        <v>45792</v>
      </c>
      <c r="B3" t="s">
        <v>62</v>
      </c>
      <c r="C3">
        <v>30000000</v>
      </c>
    </row>
    <row r="4" spans="1:3" x14ac:dyDescent="0.3">
      <c r="A4" s="9">
        <v>45869</v>
      </c>
      <c r="B4" t="s">
        <v>63</v>
      </c>
      <c r="C4">
        <v>15000000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158b48-fa5a-4960-8fd1-743f9df2f56d">
      <Terms xmlns="http://schemas.microsoft.com/office/infopath/2007/PartnerControls"/>
    </lcf76f155ced4ddcb4097134ff3c332f>
    <TaxCatchAll xmlns="f536d2f9-ec43-4f86-9a07-9d6177ffe56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72608C99C38F448A94144562857CEA5" ma:contentTypeVersion="15" ma:contentTypeDescription="Új dokumentum létrehozása." ma:contentTypeScope="" ma:versionID="ae32926ae5c1057d1383f11a0ed425d0">
  <xsd:schema xmlns:xsd="http://www.w3.org/2001/XMLSchema" xmlns:xs="http://www.w3.org/2001/XMLSchema" xmlns:p="http://schemas.microsoft.com/office/2006/metadata/properties" xmlns:ns2="f536d2f9-ec43-4f86-9a07-9d6177ffe56a" xmlns:ns3="a2158b48-fa5a-4960-8fd1-743f9df2f56d" targetNamespace="http://schemas.microsoft.com/office/2006/metadata/properties" ma:root="true" ma:fieldsID="7fe10d37b4c018ab5e79fde6159d9200" ns2:_="" ns3:_="">
    <xsd:import namespace="f536d2f9-ec43-4f86-9a07-9d6177ffe56a"/>
    <xsd:import namespace="a2158b48-fa5a-4960-8fd1-743f9df2f56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6d2f9-ec43-4f86-9a07-9d6177ffe5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a413a71-95bb-43ba-86bd-cb461d2986b0}" ma:internalName="TaxCatchAll" ma:showField="CatchAllData" ma:web="f536d2f9-ec43-4f86-9a07-9d6177ffe5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58b48-fa5a-4960-8fd1-743f9df2f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1323a659-14ea-4466-8044-9b1bfca8b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A5B3DE-BF32-4BFF-A964-DE139C5553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120644-C3B9-4011-8E0E-123311CDC99A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f536d2f9-ec43-4f86-9a07-9d6177ffe56a"/>
    <ds:schemaRef ds:uri="http://schemas.microsoft.com/office/infopath/2007/PartnerControls"/>
    <ds:schemaRef ds:uri="a2158b48-fa5a-4960-8fd1-743f9df2f56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FBB3910-1862-476C-8D1B-21288916E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36d2f9-ec43-4f86-9a07-9d6177ffe56a"/>
    <ds:schemaRef ds:uri="a2158b48-fa5a-4960-8fd1-743f9df2f5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Költségvetéstervező</vt:lpstr>
      <vt:lpstr>árajánlatok EPTK képernyőkép</vt:lpstr>
      <vt:lpstr>árajánlatok</vt:lpstr>
      <vt:lpstr>Pénzforgalom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Sereg Beatrix (igazgató)</dc:creator>
  <cp:lastModifiedBy>Sereg Beatrix (igazgató)</cp:lastModifiedBy>
  <cp:lastPrinted>2024-09-03T07:59:26Z</cp:lastPrinted>
  <dcterms:created xsi:type="dcterms:W3CDTF">2024-08-29T19:08:48Z</dcterms:created>
  <dcterms:modified xsi:type="dcterms:W3CDTF">2024-11-07T19:59:52Z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0x010100872608C99C38F448A94144562857CEA5</vt:lpwstr>
  </property>
  <property fmtid="{D5CDD505-2E9C-101B-9397-08002B2CF9AE}" pid="3" name="MediaServiceImageTags">
    <vt:lpwstr/>
  </property>
</Properties>
</file>