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300" windowHeight="8205"/>
  </bookViews>
  <sheets>
    <sheet name="Útmutató (1)" sheetId="29" r:id="rId1"/>
    <sheet name="Állagmegóvó" sheetId="30" state="hidden" r:id="rId2"/>
    <sheet name="Összesítő (2)" sheetId="28" r:id="rId3"/>
    <sheet name="Közp. Gyógyszerr. (3)" sheetId="2" r:id="rId4"/>
    <sheet name="Közp. Ágymosó (4)" sheetId="5" r:id="rId5"/>
    <sheet name="SBO (5)" sheetId="6" r:id="rId6"/>
    <sheet name="Közp. radiológia (6)" sheetId="7" r:id="rId7"/>
    <sheet name="Ortopédia (7)" sheetId="26" r:id="rId8"/>
    <sheet name="Közp. sterilizáló (8)" sheetId="8" r:id="rId9"/>
    <sheet name="Egyéb (9)" sheetId="16" r:id="rId10"/>
    <sheet name="Anesthesiológia (10)" sheetId="9" r:id="rId11"/>
    <sheet name="Közp. labor (11)" sheetId="10" r:id="rId12"/>
    <sheet name="Vérdepo (12)" sheetId="11" r:id="rId13"/>
    <sheet name="Traumatológia (13)" sheetId="12" r:id="rId14"/>
    <sheet name="Trauma intenzív (14)" sheetId="13" r:id="rId15"/>
    <sheet name="KKT GÜI (15)" sheetId="14" r:id="rId16"/>
    <sheet name="Központi műtők (16)" sheetId="15" r:id="rId17"/>
    <sheet name="Női klinika (17)" sheetId="27" r:id="rId18"/>
    <sheet name="K-Közlekedő (18)" sheetId="17" r:id="rId19"/>
    <sheet name="K-Raktár (19)" sheetId="18" r:id="rId20"/>
    <sheet name="K-Gépészet (20)" sheetId="19" r:id="rId21"/>
    <sheet name="K-Öltözők (21)" sheetId="20" r:id="rId22"/>
    <sheet name="K-Takarítás (22)" sheetId="21" r:id="rId23"/>
    <sheet name="K-Villamosság (23)" sheetId="22" r:id="rId24"/>
    <sheet name="K-Vizesblokk (24)" sheetId="23" r:id="rId25"/>
    <sheet name="K-Hulladék (25)" sheetId="24" r:id="rId26"/>
    <sheet name="K-Egyéb (26)" sheetId="25" r:id="rId27"/>
    <sheet name="Üvegfelületek külső homlokzaton" sheetId="3" r:id="rId28"/>
  </sheets>
  <externalReferences>
    <externalReference r:id="rId29"/>
    <externalReference r:id="rId30"/>
    <externalReference r:id="rId31"/>
  </externalReferences>
  <definedNames>
    <definedName name="_Toc434993713" localSheetId="16">'Központi műtők (16)'!$D$148</definedName>
    <definedName name="_Toc434993714" localSheetId="16">'Központi műtők (16)'!$D$149</definedName>
    <definedName name="_Toc434993715" localSheetId="16">'Központi műtők (16)'!$D$150</definedName>
    <definedName name="gyakoriság" localSheetId="9">[1]Összesítés!$AF$3:$AF$10</definedName>
    <definedName name="gyakoriság" localSheetId="26">[1]Összesítés!$AF$3:$AF$10</definedName>
    <definedName name="gyakoriság" localSheetId="18">[1]Összesítés!$AF$3:$AF$10</definedName>
    <definedName name="gyakoriság" localSheetId="3">[1]Összesítés!$AF$3:$AF$10</definedName>
    <definedName name="gyakoriság" localSheetId="11">[1]Összesítés!$AF$3:$AF$10</definedName>
    <definedName name="gyakoriság" localSheetId="6">[1]Összesítés!$AF$3:$AF$10</definedName>
    <definedName name="gyakoriság" localSheetId="24">[1]Összesítés!$AF$3:$AF$10</definedName>
    <definedName name="kat">[2]Összesítés!$AH$3:$AH$6</definedName>
    <definedName name="kategória">[3]Összesítés!$AH$3:$AH$6</definedName>
    <definedName name="_xlnm.Print_Titles" localSheetId="10">'Anesthesiológia (10)'!$1:$4</definedName>
    <definedName name="_xlnm.Print_Titles" localSheetId="9">'Egyéb (9)'!$1:$4</definedName>
    <definedName name="_xlnm.Print_Titles" localSheetId="26">'K-Egyéb (26)'!$1:$4</definedName>
    <definedName name="_xlnm.Print_Titles" localSheetId="20">'K-Gépészet (20)'!$1:$4</definedName>
    <definedName name="_xlnm.Print_Titles" localSheetId="25">'K-Hulladék (25)'!$1:$4</definedName>
    <definedName name="_xlnm.Print_Titles" localSheetId="18">'K-Közlekedő (18)'!$1:$4</definedName>
    <definedName name="_xlnm.Print_Titles" localSheetId="15">'KKT GÜI (15)'!$1:$4</definedName>
    <definedName name="_xlnm.Print_Titles" localSheetId="21">'K-Öltözők (21)'!$1:$4</definedName>
    <definedName name="_xlnm.Print_Titles" localSheetId="11">'Közp. labor (11)'!$1:$4</definedName>
    <definedName name="_xlnm.Print_Titles" localSheetId="6">'Közp. radiológia (6)'!$1:$4</definedName>
    <definedName name="_xlnm.Print_Titles" localSheetId="8">'Közp. sterilizáló (8)'!$1:$4</definedName>
    <definedName name="_xlnm.Print_Titles" localSheetId="16">'Központi műtők (16)'!$1:$4</definedName>
    <definedName name="_xlnm.Print_Titles" localSheetId="19">'K-Raktár (19)'!$1:$4</definedName>
    <definedName name="_xlnm.Print_Titles" localSheetId="22">'K-Takarítás (22)'!$1:$4</definedName>
    <definedName name="_xlnm.Print_Titles" localSheetId="23">'K-Villamosság (23)'!$1:$4</definedName>
    <definedName name="_xlnm.Print_Titles" localSheetId="24">'K-Vizesblokk (24)'!$1:$4</definedName>
    <definedName name="_xlnm.Print_Titles" localSheetId="17">'Női klinika (17)'!$1:$4</definedName>
    <definedName name="_xlnm.Print_Titles" localSheetId="7">'Ortopédia (7)'!$1:$4</definedName>
    <definedName name="_xlnm.Print_Titles" localSheetId="5">'SBO (5)'!$1:$4</definedName>
    <definedName name="_xlnm.Print_Titles" localSheetId="14">'Trauma intenzív (14)'!$1:$4</definedName>
    <definedName name="_xlnm.Print_Titles" localSheetId="13">'Traumatológia (13)'!$1:$4</definedName>
    <definedName name="_xlnm.Print_Titles" localSheetId="27">'Üvegfelületek külső homlokzaton'!$1:$1</definedName>
    <definedName name="_xlnm.Print_Titles" localSheetId="12">'Vérdepo (12)'!$1:$4</definedName>
  </definedNames>
  <calcPr calcId="145621"/>
</workbook>
</file>

<file path=xl/calcChain.xml><?xml version="1.0" encoding="utf-8"?>
<calcChain xmlns="http://schemas.openxmlformats.org/spreadsheetml/2006/main">
  <c r="P13" i="16" l="1"/>
  <c r="X13" i="16" s="1"/>
  <c r="P12" i="16"/>
  <c r="U12" i="16" s="1"/>
  <c r="X11" i="16"/>
  <c r="P11" i="16"/>
  <c r="X10" i="16"/>
  <c r="P10" i="16"/>
  <c r="P14" i="16"/>
  <c r="U14" i="16"/>
  <c r="X14" i="16"/>
  <c r="E15" i="16"/>
  <c r="P8" i="16"/>
  <c r="U8" i="16" s="1"/>
  <c r="U11" i="16" l="1"/>
  <c r="L33" i="30" l="1"/>
  <c r="M35" i="30"/>
  <c r="M33" i="30"/>
  <c r="M32" i="30"/>
  <c r="N32" i="30" s="1"/>
  <c r="M31" i="30"/>
  <c r="N31" i="30" s="1"/>
  <c r="M30" i="30"/>
  <c r="N30" i="30" s="1"/>
  <c r="M29" i="30"/>
  <c r="N29" i="30" s="1"/>
  <c r="M28" i="30"/>
  <c r="N28" i="30" s="1"/>
  <c r="M27" i="30"/>
  <c r="N27" i="30" s="1"/>
  <c r="M26" i="30"/>
  <c r="N26" i="30" s="1"/>
  <c r="M25" i="30"/>
  <c r="N25" i="30" s="1"/>
  <c r="M24" i="30"/>
  <c r="N24" i="30" s="1"/>
  <c r="M22" i="30"/>
  <c r="M8" i="30"/>
  <c r="N8" i="30" s="1"/>
  <c r="M9" i="30"/>
  <c r="M10" i="30"/>
  <c r="N10" i="30" s="1"/>
  <c r="M11" i="30"/>
  <c r="N11" i="30" s="1"/>
  <c r="M12" i="30"/>
  <c r="N12" i="30" s="1"/>
  <c r="M13" i="30"/>
  <c r="N13" i="30" s="1"/>
  <c r="M14" i="30"/>
  <c r="N14" i="30" s="1"/>
  <c r="M15" i="30"/>
  <c r="N15" i="30" s="1"/>
  <c r="M16" i="30"/>
  <c r="N16" i="30" s="1"/>
  <c r="M17" i="30"/>
  <c r="M18" i="30"/>
  <c r="M19" i="30"/>
  <c r="N19" i="30" s="1"/>
  <c r="M20" i="30"/>
  <c r="M21" i="30"/>
  <c r="N21" i="30" s="1"/>
  <c r="M7" i="30"/>
  <c r="N7" i="30" s="1"/>
  <c r="AC39" i="30"/>
  <c r="AC40" i="30" s="1"/>
  <c r="AB44" i="30" s="1"/>
  <c r="AC35" i="30"/>
  <c r="P35" i="30"/>
  <c r="J35" i="30"/>
  <c r="G35" i="30"/>
  <c r="D35" i="30"/>
  <c r="P33" i="30"/>
  <c r="J33" i="30"/>
  <c r="G33" i="30"/>
  <c r="D33" i="30"/>
  <c r="P32" i="30"/>
  <c r="O32" i="30"/>
  <c r="J32" i="30"/>
  <c r="G32" i="30"/>
  <c r="F32" i="30"/>
  <c r="D32" i="30"/>
  <c r="P31" i="30"/>
  <c r="J31" i="30"/>
  <c r="I31" i="30"/>
  <c r="G31" i="30"/>
  <c r="F31" i="30"/>
  <c r="D31" i="30"/>
  <c r="C31" i="30"/>
  <c r="P30" i="30"/>
  <c r="O30" i="30"/>
  <c r="J30" i="30"/>
  <c r="G30" i="30"/>
  <c r="F30" i="30"/>
  <c r="D30" i="30"/>
  <c r="P29" i="30"/>
  <c r="J29" i="30"/>
  <c r="G29" i="30"/>
  <c r="F29" i="30"/>
  <c r="D29" i="30"/>
  <c r="C29" i="30"/>
  <c r="P28" i="30"/>
  <c r="O28" i="30"/>
  <c r="J28" i="30"/>
  <c r="I28" i="30"/>
  <c r="G28" i="30"/>
  <c r="F28" i="30"/>
  <c r="D28" i="30"/>
  <c r="C28" i="30"/>
  <c r="AD27" i="30"/>
  <c r="P27" i="30"/>
  <c r="O27" i="30"/>
  <c r="J27" i="30"/>
  <c r="G27" i="30"/>
  <c r="F27" i="30"/>
  <c r="D27" i="30"/>
  <c r="C27" i="30"/>
  <c r="P26" i="30"/>
  <c r="J26" i="30"/>
  <c r="I26" i="30"/>
  <c r="G26" i="30"/>
  <c r="F26" i="30"/>
  <c r="D26" i="30"/>
  <c r="C26" i="30"/>
  <c r="P25" i="30"/>
  <c r="J25" i="30"/>
  <c r="G25" i="30"/>
  <c r="H25" i="30" s="1"/>
  <c r="D25" i="30"/>
  <c r="AD24" i="30"/>
  <c r="P24" i="30"/>
  <c r="J24" i="30"/>
  <c r="G24" i="30"/>
  <c r="D24" i="30"/>
  <c r="P22" i="30"/>
  <c r="J22" i="30"/>
  <c r="G22" i="30"/>
  <c r="D22" i="30"/>
  <c r="P21" i="30"/>
  <c r="O21" i="30"/>
  <c r="J21" i="30"/>
  <c r="G21" i="30"/>
  <c r="D21" i="30"/>
  <c r="P20" i="30"/>
  <c r="O20" i="30"/>
  <c r="J20" i="30"/>
  <c r="I20" i="30"/>
  <c r="G20" i="30"/>
  <c r="D20" i="30"/>
  <c r="C20" i="30"/>
  <c r="P19" i="30"/>
  <c r="O19" i="30"/>
  <c r="J19" i="30"/>
  <c r="G19" i="30"/>
  <c r="F19" i="30"/>
  <c r="D19" i="30"/>
  <c r="P18" i="30"/>
  <c r="O18" i="30"/>
  <c r="J18" i="30"/>
  <c r="G18" i="30"/>
  <c r="D18" i="30"/>
  <c r="C18" i="30"/>
  <c r="P17" i="30"/>
  <c r="O17" i="30"/>
  <c r="J17" i="30"/>
  <c r="K17" i="30" s="1"/>
  <c r="G17" i="30"/>
  <c r="F17" i="30"/>
  <c r="D17" i="30"/>
  <c r="P16" i="30"/>
  <c r="O16" i="30"/>
  <c r="J16" i="30"/>
  <c r="I16" i="30"/>
  <c r="G16" i="30"/>
  <c r="F16" i="30"/>
  <c r="D16" i="30"/>
  <c r="P15" i="30"/>
  <c r="O15" i="30"/>
  <c r="J15" i="30"/>
  <c r="G15" i="30"/>
  <c r="F15" i="30"/>
  <c r="D15" i="30"/>
  <c r="P14" i="30"/>
  <c r="O14" i="30"/>
  <c r="J14" i="30"/>
  <c r="G14" i="30"/>
  <c r="D14" i="30"/>
  <c r="P13" i="30"/>
  <c r="O13" i="30"/>
  <c r="J13" i="30"/>
  <c r="G13" i="30"/>
  <c r="F13" i="30"/>
  <c r="D13" i="30"/>
  <c r="C13" i="30"/>
  <c r="P12" i="30"/>
  <c r="O12" i="30"/>
  <c r="J12" i="30"/>
  <c r="G12" i="30"/>
  <c r="D12" i="30"/>
  <c r="C12" i="30"/>
  <c r="P11" i="30"/>
  <c r="J11" i="30"/>
  <c r="I11" i="30"/>
  <c r="G11" i="30"/>
  <c r="F11" i="30"/>
  <c r="D11" i="30"/>
  <c r="P10" i="30"/>
  <c r="O10" i="30"/>
  <c r="J10" i="30"/>
  <c r="G10" i="30"/>
  <c r="F10" i="30"/>
  <c r="D10" i="30"/>
  <c r="P9" i="30"/>
  <c r="O9" i="30"/>
  <c r="J9" i="30"/>
  <c r="G9" i="30"/>
  <c r="D9" i="30"/>
  <c r="C9" i="30"/>
  <c r="P8" i="30"/>
  <c r="O8" i="30"/>
  <c r="J8" i="30"/>
  <c r="G8" i="30"/>
  <c r="F8" i="30"/>
  <c r="D8" i="30"/>
  <c r="P7" i="30"/>
  <c r="Q7" i="30" s="1"/>
  <c r="J7" i="30"/>
  <c r="G7" i="30"/>
  <c r="H7" i="30" s="1"/>
  <c r="D7" i="30"/>
  <c r="E20" i="16"/>
  <c r="I13" i="30" s="1"/>
  <c r="K13" i="30" l="1"/>
  <c r="Q16" i="30"/>
  <c r="K26" i="30"/>
  <c r="K31" i="30"/>
  <c r="Q8" i="30"/>
  <c r="E9" i="30"/>
  <c r="Q20" i="30"/>
  <c r="R13" i="30"/>
  <c r="H30" i="30"/>
  <c r="H10" i="30"/>
  <c r="H11" i="30"/>
  <c r="H19" i="30"/>
  <c r="N33" i="30"/>
  <c r="Q9" i="30"/>
  <c r="Q10" i="30"/>
  <c r="Q17" i="30"/>
  <c r="Q18" i="30"/>
  <c r="Q19" i="30"/>
  <c r="Q21" i="30"/>
  <c r="Q28" i="30"/>
  <c r="Q13" i="30"/>
  <c r="Q14" i="30"/>
  <c r="Q15" i="30"/>
  <c r="Q27" i="30"/>
  <c r="K18" i="30"/>
  <c r="K20" i="30"/>
  <c r="K16" i="30"/>
  <c r="K28" i="30"/>
  <c r="H17" i="30"/>
  <c r="H28" i="30"/>
  <c r="H29" i="30"/>
  <c r="H15" i="30"/>
  <c r="H26" i="30"/>
  <c r="H32" i="30"/>
  <c r="E29" i="30"/>
  <c r="E13" i="30"/>
  <c r="E31" i="30"/>
  <c r="E17" i="30"/>
  <c r="E20" i="30"/>
  <c r="H27" i="30"/>
  <c r="E28" i="30"/>
  <c r="Q30" i="30"/>
  <c r="H31" i="30"/>
  <c r="Q32" i="30"/>
  <c r="H8" i="30"/>
  <c r="K11" i="30"/>
  <c r="H16" i="30"/>
  <c r="H18" i="30"/>
  <c r="E26" i="30"/>
  <c r="E27" i="30"/>
  <c r="Q12" i="30"/>
  <c r="H13" i="30"/>
  <c r="E12" i="30"/>
  <c r="E18" i="30"/>
  <c r="R28" i="30"/>
  <c r="S28" i="30" l="1"/>
  <c r="S13" i="30"/>
  <c r="V13" i="30" s="1"/>
  <c r="Y28" i="30"/>
  <c r="Z28" i="30"/>
  <c r="Y13" i="30"/>
  <c r="L21" i="28" l="1"/>
  <c r="AA27" i="28" l="1"/>
  <c r="AA24" i="28"/>
  <c r="E30" i="22" l="1"/>
  <c r="O29" i="30" s="1"/>
  <c r="Q29" i="30" s="1"/>
  <c r="E21" i="21"/>
  <c r="P31" i="17"/>
  <c r="U31" i="17" s="1"/>
  <c r="P30" i="17"/>
  <c r="X30" i="17" s="1"/>
  <c r="E34" i="19"/>
  <c r="O26" i="30" s="1"/>
  <c r="H365" i="3"/>
  <c r="H364" i="3"/>
  <c r="H363" i="3"/>
  <c r="I363" i="3" s="1"/>
  <c r="I362" i="3"/>
  <c r="H362" i="3"/>
  <c r="H361" i="3"/>
  <c r="I361" i="3" s="1"/>
  <c r="H360" i="3"/>
  <c r="I360" i="3" s="1"/>
  <c r="H359" i="3"/>
  <c r="I359" i="3" s="1"/>
  <c r="H358" i="3"/>
  <c r="I358" i="3" s="1"/>
  <c r="H357" i="3"/>
  <c r="I357" i="3" s="1"/>
  <c r="H356" i="3"/>
  <c r="I356" i="3" s="1"/>
  <c r="H355" i="3"/>
  <c r="I355" i="3" s="1"/>
  <c r="H354" i="3"/>
  <c r="I354" i="3" s="1"/>
  <c r="H353" i="3"/>
  <c r="I353" i="3" s="1"/>
  <c r="H352" i="3"/>
  <c r="I352" i="3" s="1"/>
  <c r="H351" i="3"/>
  <c r="I351" i="3" s="1"/>
  <c r="H350" i="3"/>
  <c r="I350" i="3" s="1"/>
  <c r="H349" i="3"/>
  <c r="I349" i="3" s="1"/>
  <c r="H348" i="3"/>
  <c r="I348" i="3" s="1"/>
  <c r="H347" i="3"/>
  <c r="I347" i="3" s="1"/>
  <c r="H346" i="3"/>
  <c r="I346" i="3" s="1"/>
  <c r="H345" i="3"/>
  <c r="H344" i="3"/>
  <c r="H343" i="3"/>
  <c r="H342" i="3"/>
  <c r="H341" i="3"/>
  <c r="I341" i="3" s="1"/>
  <c r="H340" i="3"/>
  <c r="I340" i="3" s="1"/>
  <c r="H339" i="3"/>
  <c r="I339" i="3" s="1"/>
  <c r="H338" i="3"/>
  <c r="I338" i="3" s="1"/>
  <c r="H337" i="3"/>
  <c r="I337" i="3" s="1"/>
  <c r="H336" i="3"/>
  <c r="I336" i="3" s="1"/>
  <c r="H335" i="3"/>
  <c r="H334" i="3"/>
  <c r="H333" i="3"/>
  <c r="H332" i="3"/>
  <c r="H331" i="3"/>
  <c r="H330" i="3"/>
  <c r="I330" i="3" s="1"/>
  <c r="H329" i="3"/>
  <c r="I329" i="3" s="1"/>
  <c r="H328" i="3"/>
  <c r="I328" i="3" s="1"/>
  <c r="H327" i="3"/>
  <c r="I327" i="3" s="1"/>
  <c r="H326" i="3"/>
  <c r="I326" i="3" s="1"/>
  <c r="H325" i="3"/>
  <c r="I325" i="3" s="1"/>
  <c r="H324" i="3"/>
  <c r="I324" i="3" s="1"/>
  <c r="H323" i="3"/>
  <c r="I323" i="3" s="1"/>
  <c r="I322" i="3"/>
  <c r="H322" i="3"/>
  <c r="H321" i="3"/>
  <c r="I321" i="3" s="1"/>
  <c r="H320" i="3"/>
  <c r="I320" i="3" s="1"/>
  <c r="H319" i="3"/>
  <c r="I319" i="3" s="1"/>
  <c r="H318" i="3"/>
  <c r="I318" i="3" s="1"/>
  <c r="H317" i="3"/>
  <c r="I317" i="3" s="1"/>
  <c r="H316" i="3"/>
  <c r="I316" i="3" s="1"/>
  <c r="H315" i="3"/>
  <c r="I315" i="3" s="1"/>
  <c r="H314" i="3"/>
  <c r="I314" i="3" s="1"/>
  <c r="H313" i="3"/>
  <c r="I313" i="3" s="1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I287" i="3" s="1"/>
  <c r="H286" i="3"/>
  <c r="I286" i="3" s="1"/>
  <c r="H285" i="3"/>
  <c r="I285" i="3" s="1"/>
  <c r="H284" i="3"/>
  <c r="I284" i="3" s="1"/>
  <c r="H283" i="3"/>
  <c r="I283" i="3" s="1"/>
  <c r="H282" i="3"/>
  <c r="I282" i="3" s="1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I267" i="3" s="1"/>
  <c r="H266" i="3"/>
  <c r="I266" i="3" s="1"/>
  <c r="H265" i="3"/>
  <c r="I265" i="3" s="1"/>
  <c r="H264" i="3"/>
  <c r="I264" i="3" s="1"/>
  <c r="H263" i="3"/>
  <c r="I263" i="3" s="1"/>
  <c r="H262" i="3"/>
  <c r="H261" i="3"/>
  <c r="H260" i="3"/>
  <c r="H259" i="3"/>
  <c r="H258" i="3"/>
  <c r="H257" i="3"/>
  <c r="H256" i="3"/>
  <c r="H255" i="3"/>
  <c r="H254" i="3"/>
  <c r="H253" i="3"/>
  <c r="H252" i="3"/>
  <c r="I252" i="3" s="1"/>
  <c r="H251" i="3"/>
  <c r="I251" i="3" s="1"/>
  <c r="H250" i="3"/>
  <c r="I250" i="3" s="1"/>
  <c r="H249" i="3"/>
  <c r="I249" i="3" s="1"/>
  <c r="H248" i="3"/>
  <c r="I248" i="3" s="1"/>
  <c r="H247" i="3"/>
  <c r="I247" i="3" s="1"/>
  <c r="H246" i="3"/>
  <c r="I246" i="3" s="1"/>
  <c r="H245" i="3"/>
  <c r="I245" i="3" s="1"/>
  <c r="H244" i="3"/>
  <c r="I244" i="3" s="1"/>
  <c r="H243" i="3"/>
  <c r="I243" i="3" s="1"/>
  <c r="H242" i="3"/>
  <c r="H371" i="3" s="1"/>
  <c r="H241" i="3"/>
  <c r="I241" i="3" s="1"/>
  <c r="H240" i="3"/>
  <c r="I240" i="3" s="1"/>
  <c r="H239" i="3"/>
  <c r="H238" i="3"/>
  <c r="H237" i="3"/>
  <c r="H236" i="3"/>
  <c r="H235" i="3"/>
  <c r="H234" i="3"/>
  <c r="H233" i="3"/>
  <c r="I233" i="3" s="1"/>
  <c r="H232" i="3"/>
  <c r="I232" i="3" s="1"/>
  <c r="H231" i="3"/>
  <c r="I231" i="3" s="1"/>
  <c r="H230" i="3"/>
  <c r="I230" i="3" s="1"/>
  <c r="H229" i="3"/>
  <c r="I229" i="3" s="1"/>
  <c r="H228" i="3"/>
  <c r="I228" i="3" s="1"/>
  <c r="H227" i="3"/>
  <c r="I227" i="3" s="1"/>
  <c r="H226" i="3"/>
  <c r="I226" i="3" s="1"/>
  <c r="H225" i="3"/>
  <c r="I225" i="3" s="1"/>
  <c r="H224" i="3"/>
  <c r="I224" i="3" s="1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I210" i="3" s="1"/>
  <c r="H209" i="3"/>
  <c r="I209" i="3" s="1"/>
  <c r="H208" i="3"/>
  <c r="I208" i="3" s="1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I182" i="3" s="1"/>
  <c r="H181" i="3"/>
  <c r="I181" i="3" s="1"/>
  <c r="H180" i="3"/>
  <c r="H179" i="3"/>
  <c r="H178" i="3"/>
  <c r="H177" i="3"/>
  <c r="H176" i="3"/>
  <c r="H175" i="3"/>
  <c r="H174" i="3"/>
  <c r="I174" i="3" s="1"/>
  <c r="H173" i="3"/>
  <c r="I173" i="3" s="1"/>
  <c r="H172" i="3"/>
  <c r="I172" i="3" s="1"/>
  <c r="H171" i="3"/>
  <c r="I171" i="3" s="1"/>
  <c r="H170" i="3"/>
  <c r="I170" i="3" s="1"/>
  <c r="H169" i="3"/>
  <c r="I169" i="3" s="1"/>
  <c r="H168" i="3"/>
  <c r="I168" i="3" s="1"/>
  <c r="H167" i="3"/>
  <c r="I167" i="3" s="1"/>
  <c r="H166" i="3"/>
  <c r="I166" i="3" s="1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I152" i="3" s="1"/>
  <c r="H151" i="3"/>
  <c r="I151" i="3" s="1"/>
  <c r="H150" i="3"/>
  <c r="I150" i="3" s="1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I124" i="3" s="1"/>
  <c r="H123" i="3"/>
  <c r="I123" i="3" s="1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H66" i="3"/>
  <c r="I66" i="3" s="1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I16" i="3" s="1"/>
  <c r="H15" i="3"/>
  <c r="I15" i="3" s="1"/>
  <c r="H14" i="3"/>
  <c r="I14" i="3" s="1"/>
  <c r="H13" i="3"/>
  <c r="I13" i="3" s="1"/>
  <c r="H12" i="3"/>
  <c r="H11" i="3"/>
  <c r="H10" i="3"/>
  <c r="H9" i="3"/>
  <c r="H8" i="3"/>
  <c r="H7" i="3"/>
  <c r="I7" i="3" s="1"/>
  <c r="H6" i="3"/>
  <c r="I6" i="3" s="1"/>
  <c r="H5" i="3"/>
  <c r="H4" i="3"/>
  <c r="H3" i="3"/>
  <c r="H2" i="3"/>
  <c r="H368" i="3" s="1"/>
  <c r="Q26" i="30" l="1"/>
  <c r="S26" i="30" s="1"/>
  <c r="R26" i="30"/>
  <c r="H370" i="3"/>
  <c r="I242" i="3"/>
  <c r="I371" i="3" s="1"/>
  <c r="V26" i="30" l="1"/>
  <c r="Y26" i="30"/>
  <c r="I368" i="3"/>
  <c r="I370" i="3" s="1"/>
  <c r="Z35" i="28" l="1"/>
  <c r="Z40" i="28"/>
  <c r="Z41" i="28" s="1"/>
  <c r="Y45" i="28" s="1"/>
  <c r="I20" i="28" l="1"/>
  <c r="C20" i="28"/>
  <c r="F19" i="28"/>
  <c r="L18" i="28"/>
  <c r="C18" i="28"/>
  <c r="L17" i="28"/>
  <c r="F17" i="28"/>
  <c r="L16" i="28"/>
  <c r="I16" i="28"/>
  <c r="F16" i="28"/>
  <c r="L15" i="28"/>
  <c r="F15" i="28"/>
  <c r="L14" i="28"/>
  <c r="L13" i="28"/>
  <c r="I13" i="28"/>
  <c r="F13" i="28"/>
  <c r="C13" i="28"/>
  <c r="L12" i="28"/>
  <c r="C12" i="28"/>
  <c r="D8" i="28"/>
  <c r="D9" i="28"/>
  <c r="D10" i="28"/>
  <c r="D11" i="28"/>
  <c r="D7" i="28"/>
  <c r="I11" i="28"/>
  <c r="F11" i="28"/>
  <c r="L10" i="28"/>
  <c r="F10" i="28"/>
  <c r="M35" i="28"/>
  <c r="M33" i="28"/>
  <c r="J35" i="28"/>
  <c r="J33" i="28"/>
  <c r="G35" i="28"/>
  <c r="G33" i="28"/>
  <c r="M22" i="28"/>
  <c r="M32" i="28"/>
  <c r="M31" i="28"/>
  <c r="M30" i="28"/>
  <c r="M29" i="28"/>
  <c r="M28" i="28"/>
  <c r="M27" i="28"/>
  <c r="M26" i="28"/>
  <c r="M25" i="28"/>
  <c r="M24" i="28"/>
  <c r="M8" i="28"/>
  <c r="M9" i="28"/>
  <c r="M10" i="28"/>
  <c r="N10" i="28" s="1"/>
  <c r="M11" i="28"/>
  <c r="M12" i="28"/>
  <c r="M13" i="28"/>
  <c r="M14" i="28"/>
  <c r="M15" i="28"/>
  <c r="M16" i="28"/>
  <c r="M17" i="28"/>
  <c r="M18" i="28"/>
  <c r="M19" i="28"/>
  <c r="M20" i="28"/>
  <c r="M21" i="28"/>
  <c r="M7" i="28"/>
  <c r="N7" i="28" s="1"/>
  <c r="J22" i="28"/>
  <c r="J32" i="28"/>
  <c r="J31" i="28"/>
  <c r="J30" i="28"/>
  <c r="J29" i="28"/>
  <c r="J28" i="28"/>
  <c r="J27" i="28"/>
  <c r="J26" i="28"/>
  <c r="J25" i="28"/>
  <c r="J24" i="28"/>
  <c r="J8" i="28"/>
  <c r="J9" i="28"/>
  <c r="J10" i="28"/>
  <c r="J11" i="28"/>
  <c r="K11" i="28" s="1"/>
  <c r="J12" i="28"/>
  <c r="J13" i="28"/>
  <c r="J14" i="28"/>
  <c r="J15" i="28"/>
  <c r="J16" i="28"/>
  <c r="J17" i="28"/>
  <c r="J18" i="28"/>
  <c r="J19" i="28"/>
  <c r="J20" i="28"/>
  <c r="J21" i="28"/>
  <c r="J7" i="28"/>
  <c r="G22" i="28"/>
  <c r="G32" i="28"/>
  <c r="G31" i="28"/>
  <c r="G30" i="28"/>
  <c r="G29" i="28"/>
  <c r="G28" i="28"/>
  <c r="G27" i="28"/>
  <c r="G26" i="28"/>
  <c r="G25" i="28"/>
  <c r="H25" i="28" s="1"/>
  <c r="G24" i="28"/>
  <c r="G8" i="28"/>
  <c r="G9" i="28"/>
  <c r="G10" i="28"/>
  <c r="G11" i="28"/>
  <c r="H11" i="28" s="1"/>
  <c r="G12" i="28"/>
  <c r="G13" i="28"/>
  <c r="G14" i="28"/>
  <c r="G15" i="28"/>
  <c r="G16" i="28"/>
  <c r="G17" i="28"/>
  <c r="G18" i="28"/>
  <c r="G19" i="28"/>
  <c r="G20" i="28"/>
  <c r="G21" i="28"/>
  <c r="G7" i="28"/>
  <c r="H7" i="28" s="1"/>
  <c r="D35" i="28"/>
  <c r="D33" i="28"/>
  <c r="D22" i="28"/>
  <c r="D32" i="28"/>
  <c r="D31" i="28"/>
  <c r="D30" i="28"/>
  <c r="D29" i="28"/>
  <c r="D28" i="28"/>
  <c r="D27" i="28"/>
  <c r="D26" i="28"/>
  <c r="D25" i="28"/>
  <c r="D24" i="28"/>
  <c r="D12" i="28"/>
  <c r="D13" i="28"/>
  <c r="D14" i="28"/>
  <c r="D15" i="28"/>
  <c r="D16" i="28"/>
  <c r="D17" i="28"/>
  <c r="D18" i="28"/>
  <c r="D19" i="28"/>
  <c r="D20" i="28"/>
  <c r="D21" i="28"/>
  <c r="L9" i="28"/>
  <c r="C9" i="28"/>
  <c r="L8" i="28"/>
  <c r="F8" i="28"/>
  <c r="L32" i="28"/>
  <c r="F32" i="28"/>
  <c r="I31" i="28"/>
  <c r="F31" i="28"/>
  <c r="C31" i="28"/>
  <c r="L30" i="28"/>
  <c r="F30" i="28"/>
  <c r="L29" i="28"/>
  <c r="F29" i="28"/>
  <c r="C29" i="28"/>
  <c r="L28" i="28"/>
  <c r="I28" i="28"/>
  <c r="F28" i="28"/>
  <c r="C28" i="28"/>
  <c r="L27" i="28"/>
  <c r="F27" i="28"/>
  <c r="C27" i="28"/>
  <c r="L26" i="28"/>
  <c r="I26" i="28"/>
  <c r="F26" i="28"/>
  <c r="C26" i="28"/>
  <c r="E36" i="25"/>
  <c r="E34" i="25"/>
  <c r="C32" i="30" s="1"/>
  <c r="E14" i="24"/>
  <c r="E64" i="23"/>
  <c r="E62" i="23"/>
  <c r="E29" i="22"/>
  <c r="E38" i="18"/>
  <c r="E37" i="18"/>
  <c r="E35" i="18"/>
  <c r="E36" i="18"/>
  <c r="E105" i="17"/>
  <c r="E102" i="17"/>
  <c r="E104" i="17"/>
  <c r="E103" i="17"/>
  <c r="E143" i="27"/>
  <c r="E142" i="27"/>
  <c r="E141" i="27"/>
  <c r="E138" i="27"/>
  <c r="P136" i="27"/>
  <c r="U136" i="27" s="1"/>
  <c r="P129" i="27"/>
  <c r="U129" i="27" s="1"/>
  <c r="P128" i="27"/>
  <c r="U128" i="27" s="1"/>
  <c r="P118" i="27"/>
  <c r="U118" i="27" s="1"/>
  <c r="X117" i="27"/>
  <c r="P117" i="27"/>
  <c r="X116" i="27"/>
  <c r="P116" i="27"/>
  <c r="X115" i="27"/>
  <c r="P115" i="27"/>
  <c r="X114" i="27"/>
  <c r="P114" i="27"/>
  <c r="X113" i="27"/>
  <c r="P113" i="27"/>
  <c r="X112" i="27"/>
  <c r="P112" i="27"/>
  <c r="X111" i="27"/>
  <c r="P111" i="27"/>
  <c r="X110" i="27"/>
  <c r="P110" i="27"/>
  <c r="P109" i="27"/>
  <c r="X109" i="27" s="1"/>
  <c r="U108" i="27"/>
  <c r="U107" i="27"/>
  <c r="U106" i="27"/>
  <c r="U105" i="27"/>
  <c r="U104" i="27"/>
  <c r="U103" i="27"/>
  <c r="U102" i="27"/>
  <c r="U101" i="27"/>
  <c r="U100" i="27"/>
  <c r="U99" i="27"/>
  <c r="U98" i="27"/>
  <c r="U97" i="27"/>
  <c r="U96" i="27"/>
  <c r="U95" i="27"/>
  <c r="U94" i="27"/>
  <c r="U93" i="27"/>
  <c r="U92" i="27"/>
  <c r="U91" i="27"/>
  <c r="U90" i="27"/>
  <c r="U89" i="27"/>
  <c r="U88" i="27"/>
  <c r="P87" i="27"/>
  <c r="U87" i="27" s="1"/>
  <c r="P86" i="27"/>
  <c r="U86" i="27" s="1"/>
  <c r="U85" i="27"/>
  <c r="U84" i="27"/>
  <c r="U83" i="27"/>
  <c r="U82" i="27"/>
  <c r="U81" i="27"/>
  <c r="U80" i="27"/>
  <c r="U79" i="27"/>
  <c r="U78" i="27"/>
  <c r="U77" i="27"/>
  <c r="U76" i="27"/>
  <c r="U75" i="27"/>
  <c r="U74" i="27"/>
  <c r="U73" i="27"/>
  <c r="U72" i="27"/>
  <c r="U71" i="27"/>
  <c r="U70" i="27"/>
  <c r="U69" i="27"/>
  <c r="U68" i="27"/>
  <c r="U67" i="27"/>
  <c r="U66" i="27"/>
  <c r="U65" i="27"/>
  <c r="U64" i="27"/>
  <c r="U63" i="27"/>
  <c r="U62" i="27"/>
  <c r="X61" i="27"/>
  <c r="P61" i="27"/>
  <c r="P60" i="27"/>
  <c r="U60" i="27" s="1"/>
  <c r="P59" i="27"/>
  <c r="U59" i="27" s="1"/>
  <c r="P58" i="27"/>
  <c r="U58" i="27" s="1"/>
  <c r="U57" i="27"/>
  <c r="P56" i="27"/>
  <c r="U56" i="27" s="1"/>
  <c r="P55" i="27"/>
  <c r="U55" i="27" s="1"/>
  <c r="U54" i="27"/>
  <c r="U53" i="27"/>
  <c r="U52" i="27"/>
  <c r="U51" i="27"/>
  <c r="U50" i="27"/>
  <c r="U49" i="27"/>
  <c r="U48" i="27"/>
  <c r="U47" i="27"/>
  <c r="U46" i="27"/>
  <c r="U45" i="27"/>
  <c r="U44" i="27"/>
  <c r="U43" i="27"/>
  <c r="U42" i="27"/>
  <c r="U41" i="27"/>
  <c r="U40" i="27"/>
  <c r="U39" i="27"/>
  <c r="U38" i="27"/>
  <c r="U37" i="27"/>
  <c r="U36" i="27"/>
  <c r="U35" i="27"/>
  <c r="U34" i="27"/>
  <c r="U33" i="27"/>
  <c r="U32" i="27"/>
  <c r="U31" i="27"/>
  <c r="U30" i="27"/>
  <c r="U29" i="27"/>
  <c r="U28" i="27"/>
  <c r="U27" i="27"/>
  <c r="P26" i="27"/>
  <c r="U26" i="27" s="1"/>
  <c r="P25" i="27"/>
  <c r="U25" i="27" s="1"/>
  <c r="P24" i="27"/>
  <c r="U24" i="27" s="1"/>
  <c r="P23" i="27"/>
  <c r="U23" i="27" s="1"/>
  <c r="P22" i="27"/>
  <c r="U22" i="27" s="1"/>
  <c r="P21" i="27"/>
  <c r="U21" i="27" s="1"/>
  <c r="P20" i="27"/>
  <c r="U20" i="27" s="1"/>
  <c r="P19" i="27"/>
  <c r="U19" i="27" s="1"/>
  <c r="P18" i="27"/>
  <c r="U18" i="27" s="1"/>
  <c r="P17" i="27"/>
  <c r="U17" i="27" s="1"/>
  <c r="P16" i="27"/>
  <c r="U16" i="27" s="1"/>
  <c r="P15" i="27"/>
  <c r="U15" i="27" s="1"/>
  <c r="P14" i="27"/>
  <c r="U14" i="27" s="1"/>
  <c r="P13" i="27"/>
  <c r="U13" i="27" s="1"/>
  <c r="P12" i="27"/>
  <c r="U12" i="27" s="1"/>
  <c r="P11" i="27"/>
  <c r="U11" i="27" s="1"/>
  <c r="P10" i="27"/>
  <c r="U10" i="27" s="1"/>
  <c r="P9" i="27"/>
  <c r="U9" i="27" s="1"/>
  <c r="P8" i="27"/>
  <c r="X8" i="27" s="1"/>
  <c r="P7" i="27"/>
  <c r="U7" i="27" s="1"/>
  <c r="P6" i="27"/>
  <c r="U6" i="27" s="1"/>
  <c r="X5" i="27"/>
  <c r="P5" i="27"/>
  <c r="E139" i="15"/>
  <c r="L20" i="28"/>
  <c r="E37" i="14"/>
  <c r="E35" i="14"/>
  <c r="E56" i="13"/>
  <c r="I18" i="28" s="1"/>
  <c r="E55" i="13"/>
  <c r="F18" i="28" s="1"/>
  <c r="E214" i="12"/>
  <c r="I17" i="28" s="1"/>
  <c r="E212" i="12"/>
  <c r="C17" i="28" s="1"/>
  <c r="E11" i="11"/>
  <c r="E102" i="10"/>
  <c r="E100" i="10"/>
  <c r="C15" i="30" s="1"/>
  <c r="E96" i="9"/>
  <c r="E95" i="9"/>
  <c r="E94" i="9"/>
  <c r="C14" i="30" s="1"/>
  <c r="E22" i="16"/>
  <c r="E40" i="8"/>
  <c r="E41" i="8"/>
  <c r="E72" i="26"/>
  <c r="E69" i="26"/>
  <c r="C11" i="30" s="1"/>
  <c r="E64" i="26"/>
  <c r="X63" i="26"/>
  <c r="P63" i="26"/>
  <c r="P62" i="26"/>
  <c r="X62" i="26" s="1"/>
  <c r="X61" i="26"/>
  <c r="P61" i="26"/>
  <c r="P60" i="26"/>
  <c r="U60" i="26" s="1"/>
  <c r="P59" i="26"/>
  <c r="U59" i="26" s="1"/>
  <c r="P58" i="26"/>
  <c r="X58" i="26" s="1"/>
  <c r="P57" i="26"/>
  <c r="X57" i="26" s="1"/>
  <c r="P56" i="26"/>
  <c r="X56" i="26" s="1"/>
  <c r="P55" i="26"/>
  <c r="X55" i="26" s="1"/>
  <c r="P54" i="26"/>
  <c r="X54" i="26" s="1"/>
  <c r="P53" i="26"/>
  <c r="X53" i="26" s="1"/>
  <c r="P52" i="26"/>
  <c r="X52" i="26" s="1"/>
  <c r="P51" i="26"/>
  <c r="X51" i="26" s="1"/>
  <c r="P50" i="26"/>
  <c r="X50" i="26" s="1"/>
  <c r="P49" i="26"/>
  <c r="U49" i="26" s="1"/>
  <c r="P48" i="26"/>
  <c r="X48" i="26" s="1"/>
  <c r="X47" i="26"/>
  <c r="P47" i="26"/>
  <c r="P46" i="26"/>
  <c r="X46" i="26" s="1"/>
  <c r="P45" i="26"/>
  <c r="X45" i="26" s="1"/>
  <c r="P44" i="26"/>
  <c r="X44" i="26" s="1"/>
  <c r="P43" i="26"/>
  <c r="X43" i="26" s="1"/>
  <c r="P42" i="26"/>
  <c r="X42" i="26" s="1"/>
  <c r="P41" i="26"/>
  <c r="U41" i="26" s="1"/>
  <c r="P40" i="26"/>
  <c r="X40" i="26" s="1"/>
  <c r="P39" i="26"/>
  <c r="X39" i="26" s="1"/>
  <c r="P38" i="26"/>
  <c r="U38" i="26" s="1"/>
  <c r="P37" i="26"/>
  <c r="U37" i="26" s="1"/>
  <c r="P36" i="26"/>
  <c r="X36" i="26" s="1"/>
  <c r="P35" i="26"/>
  <c r="X35" i="26" s="1"/>
  <c r="P34" i="26"/>
  <c r="X34" i="26" s="1"/>
  <c r="P33" i="26"/>
  <c r="U33" i="26" s="1"/>
  <c r="P32" i="26"/>
  <c r="U32" i="26" s="1"/>
  <c r="P31" i="26"/>
  <c r="U31" i="26" s="1"/>
  <c r="P30" i="26"/>
  <c r="P29" i="26"/>
  <c r="P28" i="26"/>
  <c r="P27" i="26"/>
  <c r="P26" i="26"/>
  <c r="U26" i="26" s="1"/>
  <c r="P25" i="26"/>
  <c r="U25" i="26" s="1"/>
  <c r="P24" i="26"/>
  <c r="U24" i="26" s="1"/>
  <c r="P23" i="26"/>
  <c r="U23" i="26" s="1"/>
  <c r="P22" i="26"/>
  <c r="U22" i="26" s="1"/>
  <c r="P21" i="26"/>
  <c r="U21" i="26" s="1"/>
  <c r="P20" i="26"/>
  <c r="U20" i="26" s="1"/>
  <c r="P19" i="26"/>
  <c r="U19" i="26" s="1"/>
  <c r="P18" i="26"/>
  <c r="U18" i="26" s="1"/>
  <c r="P17" i="26"/>
  <c r="U17" i="26" s="1"/>
  <c r="P16" i="26"/>
  <c r="U16" i="26" s="1"/>
  <c r="P15" i="26"/>
  <c r="U15" i="26" s="1"/>
  <c r="P14" i="26"/>
  <c r="X14" i="26" s="1"/>
  <c r="X13" i="26"/>
  <c r="P13" i="26"/>
  <c r="P12" i="26"/>
  <c r="U12" i="26" s="1"/>
  <c r="P11" i="26"/>
  <c r="U11" i="26" s="1"/>
  <c r="P10" i="26"/>
  <c r="U10" i="26" s="1"/>
  <c r="P9" i="26"/>
  <c r="U9" i="26" s="1"/>
  <c r="P8" i="26"/>
  <c r="U8" i="26" s="1"/>
  <c r="P7" i="26"/>
  <c r="U7" i="26" s="1"/>
  <c r="P6" i="26"/>
  <c r="U6" i="26" s="1"/>
  <c r="P5" i="26"/>
  <c r="U5" i="26" s="1"/>
  <c r="E127" i="7"/>
  <c r="E125" i="7"/>
  <c r="E91" i="6"/>
  <c r="E90" i="6"/>
  <c r="E28" i="5"/>
  <c r="E26" i="5"/>
  <c r="E28" i="2"/>
  <c r="E26" i="2"/>
  <c r="C7" i="30" s="1"/>
  <c r="Q35" i="8"/>
  <c r="V35" i="8" s="1"/>
  <c r="Y34" i="8"/>
  <c r="Q34" i="8"/>
  <c r="Q33" i="8"/>
  <c r="V33" i="8" s="1"/>
  <c r="Q32" i="8"/>
  <c r="V32" i="8" s="1"/>
  <c r="Q31" i="8"/>
  <c r="Y31" i="8" s="1"/>
  <c r="Q30" i="8"/>
  <c r="Y30" i="8" s="1"/>
  <c r="Q29" i="8"/>
  <c r="Y29" i="8" s="1"/>
  <c r="Q28" i="8"/>
  <c r="Y28" i="8" s="1"/>
  <c r="Q27" i="8"/>
  <c r="Y27" i="8" s="1"/>
  <c r="Q26" i="8"/>
  <c r="Y26" i="8" s="1"/>
  <c r="Q25" i="8"/>
  <c r="Y25" i="8" s="1"/>
  <c r="Q24" i="8"/>
  <c r="Y24" i="8" s="1"/>
  <c r="Q23" i="8"/>
  <c r="Y23" i="8" s="1"/>
  <c r="Q22" i="8"/>
  <c r="Y22" i="8" s="1"/>
  <c r="Q21" i="8"/>
  <c r="Y21" i="8" s="1"/>
  <c r="Q20" i="8"/>
  <c r="Y20" i="8" s="1"/>
  <c r="Q19" i="8"/>
  <c r="Y19" i="8" s="1"/>
  <c r="Q18" i="8"/>
  <c r="Y18" i="8" s="1"/>
  <c r="Q17" i="8"/>
  <c r="Y17" i="8" s="1"/>
  <c r="Q16" i="8"/>
  <c r="Y16" i="8" s="1"/>
  <c r="Q15" i="8"/>
  <c r="Y15" i="8" s="1"/>
  <c r="Q14" i="8"/>
  <c r="Y14" i="8" s="1"/>
  <c r="Q13" i="8"/>
  <c r="Y13" i="8" s="1"/>
  <c r="Q12" i="8"/>
  <c r="Y12" i="8" s="1"/>
  <c r="Q11" i="8"/>
  <c r="Y11" i="8" s="1"/>
  <c r="Q10" i="8"/>
  <c r="Y10" i="8" s="1"/>
  <c r="Q9" i="8"/>
  <c r="Y9" i="8" s="1"/>
  <c r="Q8" i="8"/>
  <c r="Y8" i="8" s="1"/>
  <c r="Q7" i="8"/>
  <c r="Y7" i="8" s="1"/>
  <c r="Y6" i="8"/>
  <c r="Q6" i="8"/>
  <c r="Q5" i="8"/>
  <c r="Y5" i="8" s="1"/>
  <c r="P85" i="6"/>
  <c r="X85" i="6" s="1"/>
  <c r="P84" i="6"/>
  <c r="X84" i="6" s="1"/>
  <c r="P83" i="6"/>
  <c r="X83" i="6" s="1"/>
  <c r="X82" i="6"/>
  <c r="P82" i="6"/>
  <c r="P81" i="6"/>
  <c r="U81" i="6" s="1"/>
  <c r="P80" i="6"/>
  <c r="X80" i="6" s="1"/>
  <c r="P79" i="6"/>
  <c r="U79" i="6" s="1"/>
  <c r="P78" i="6"/>
  <c r="X78" i="6" s="1"/>
  <c r="P77" i="6"/>
  <c r="U77" i="6" s="1"/>
  <c r="P76" i="6"/>
  <c r="X76" i="6" s="1"/>
  <c r="P75" i="6"/>
  <c r="U75" i="6" s="1"/>
  <c r="P74" i="6"/>
  <c r="U74" i="6" s="1"/>
  <c r="X73" i="6"/>
  <c r="P73" i="6"/>
  <c r="P72" i="6"/>
  <c r="U72" i="6" s="1"/>
  <c r="P71" i="6"/>
  <c r="U71" i="6" s="1"/>
  <c r="P70" i="6"/>
  <c r="U70" i="6" s="1"/>
  <c r="P69" i="6"/>
  <c r="U69" i="6" s="1"/>
  <c r="P68" i="6"/>
  <c r="X68" i="6" s="1"/>
  <c r="P67" i="6"/>
  <c r="U67" i="6" s="1"/>
  <c r="P66" i="6"/>
  <c r="U66" i="6" s="1"/>
  <c r="U65" i="6"/>
  <c r="P65" i="6"/>
  <c r="P64" i="6"/>
  <c r="X64" i="6" s="1"/>
  <c r="P63" i="6"/>
  <c r="X63" i="6" s="1"/>
  <c r="X62" i="6"/>
  <c r="P62" i="6"/>
  <c r="P61" i="6"/>
  <c r="X61" i="6" s="1"/>
  <c r="P60" i="6"/>
  <c r="X60" i="6" s="1"/>
  <c r="X59" i="6"/>
  <c r="P59" i="6"/>
  <c r="P58" i="6"/>
  <c r="X58" i="6" s="1"/>
  <c r="P57" i="6"/>
  <c r="X57" i="6" s="1"/>
  <c r="X56" i="6"/>
  <c r="P56" i="6"/>
  <c r="P55" i="6"/>
  <c r="X55" i="6" s="1"/>
  <c r="P54" i="6"/>
  <c r="X54" i="6" s="1"/>
  <c r="P53" i="6"/>
  <c r="X53" i="6" s="1"/>
  <c r="P52" i="6"/>
  <c r="X52" i="6" s="1"/>
  <c r="P51" i="6"/>
  <c r="P50" i="6"/>
  <c r="X50" i="6" s="1"/>
  <c r="P49" i="6"/>
  <c r="X49" i="6" s="1"/>
  <c r="P48" i="6"/>
  <c r="X48" i="6" s="1"/>
  <c r="P47" i="6"/>
  <c r="X47" i="6" s="1"/>
  <c r="P46" i="6"/>
  <c r="X46" i="6" s="1"/>
  <c r="P45" i="6"/>
  <c r="X45" i="6" s="1"/>
  <c r="P44" i="6"/>
  <c r="X44" i="6" s="1"/>
  <c r="P43" i="6"/>
  <c r="X43" i="6" s="1"/>
  <c r="P42" i="6"/>
  <c r="X42" i="6" s="1"/>
  <c r="P41" i="6"/>
  <c r="X41" i="6" s="1"/>
  <c r="P40" i="6"/>
  <c r="X40" i="6" s="1"/>
  <c r="P39" i="6"/>
  <c r="X39" i="6" s="1"/>
  <c r="P38" i="6"/>
  <c r="X38" i="6" s="1"/>
  <c r="P37" i="6"/>
  <c r="X37" i="6" s="1"/>
  <c r="P36" i="6"/>
  <c r="X36" i="6" s="1"/>
  <c r="P35" i="6"/>
  <c r="X35" i="6" s="1"/>
  <c r="P34" i="6"/>
  <c r="X34" i="6" s="1"/>
  <c r="P33" i="6"/>
  <c r="X33" i="6" s="1"/>
  <c r="P32" i="6"/>
  <c r="U32" i="6" s="1"/>
  <c r="P31" i="6"/>
  <c r="U31" i="6" s="1"/>
  <c r="P30" i="6"/>
  <c r="U30" i="6" s="1"/>
  <c r="P29" i="6"/>
  <c r="V29" i="6" s="1"/>
  <c r="P28" i="6"/>
  <c r="X28" i="6" s="1"/>
  <c r="P27" i="6"/>
  <c r="V27" i="6" s="1"/>
  <c r="P26" i="6"/>
  <c r="V26" i="6" s="1"/>
  <c r="P25" i="6"/>
  <c r="X25" i="6" s="1"/>
  <c r="P24" i="6"/>
  <c r="X24" i="6" s="1"/>
  <c r="P23" i="6"/>
  <c r="U23" i="6" s="1"/>
  <c r="P22" i="6"/>
  <c r="U22" i="6" s="1"/>
  <c r="P21" i="6"/>
  <c r="X21" i="6" s="1"/>
  <c r="P20" i="6"/>
  <c r="X20" i="6" s="1"/>
  <c r="P19" i="6"/>
  <c r="X19" i="6" s="1"/>
  <c r="P18" i="6"/>
  <c r="X18" i="6" s="1"/>
  <c r="P17" i="6"/>
  <c r="X17" i="6" s="1"/>
  <c r="P16" i="6"/>
  <c r="X16" i="6" s="1"/>
  <c r="P15" i="6"/>
  <c r="X15" i="6" s="1"/>
  <c r="P14" i="6"/>
  <c r="X14" i="6" s="1"/>
  <c r="P13" i="6"/>
  <c r="X13" i="6" s="1"/>
  <c r="P12" i="6"/>
  <c r="X12" i="6" s="1"/>
  <c r="P11" i="6"/>
  <c r="X11" i="6" s="1"/>
  <c r="P10" i="6"/>
  <c r="V10" i="6" s="1"/>
  <c r="P9" i="6"/>
  <c r="U9" i="6" s="1"/>
  <c r="P8" i="6"/>
  <c r="U8" i="6" s="1"/>
  <c r="P7" i="6"/>
  <c r="X7" i="6" s="1"/>
  <c r="P6" i="6"/>
  <c r="U6" i="6" s="1"/>
  <c r="P5" i="6"/>
  <c r="X5" i="6" s="1"/>
  <c r="P9" i="16"/>
  <c r="U9" i="16" s="1"/>
  <c r="P7" i="16"/>
  <c r="U7" i="16" s="1"/>
  <c r="P6" i="16"/>
  <c r="U6" i="16" s="1"/>
  <c r="P5" i="16"/>
  <c r="U5" i="16" s="1"/>
  <c r="P90" i="9"/>
  <c r="X90" i="9" s="1"/>
  <c r="P89" i="9"/>
  <c r="U89" i="9" s="1"/>
  <c r="P88" i="9"/>
  <c r="U88" i="9" s="1"/>
  <c r="P87" i="9"/>
  <c r="U87" i="9" s="1"/>
  <c r="P86" i="9"/>
  <c r="U86" i="9" s="1"/>
  <c r="P85" i="9"/>
  <c r="U85" i="9" s="1"/>
  <c r="P84" i="9"/>
  <c r="U84" i="9" s="1"/>
  <c r="P83" i="9"/>
  <c r="U83" i="9" s="1"/>
  <c r="P82" i="9"/>
  <c r="U82" i="9" s="1"/>
  <c r="P81" i="9"/>
  <c r="U81" i="9" s="1"/>
  <c r="P80" i="9"/>
  <c r="X80" i="9" s="1"/>
  <c r="U79" i="9"/>
  <c r="P79" i="9"/>
  <c r="P78" i="9"/>
  <c r="X78" i="9" s="1"/>
  <c r="P77" i="9"/>
  <c r="X77" i="9" s="1"/>
  <c r="U77" i="9" s="1"/>
  <c r="U76" i="9"/>
  <c r="P76" i="9"/>
  <c r="P75" i="9"/>
  <c r="X75" i="9" s="1"/>
  <c r="P74" i="9"/>
  <c r="U74" i="9" s="1"/>
  <c r="P73" i="9"/>
  <c r="U73" i="9" s="1"/>
  <c r="P72" i="9"/>
  <c r="U72" i="9" s="1"/>
  <c r="P71" i="9"/>
  <c r="U71" i="9" s="1"/>
  <c r="P70" i="9"/>
  <c r="U70" i="9" s="1"/>
  <c r="P69" i="9"/>
  <c r="U69" i="9" s="1"/>
  <c r="P68" i="9"/>
  <c r="X68" i="9" s="1"/>
  <c r="P67" i="9"/>
  <c r="U67" i="9" s="1"/>
  <c r="P66" i="9"/>
  <c r="X66" i="9" s="1"/>
  <c r="P65" i="9"/>
  <c r="U65" i="9" s="1"/>
  <c r="P64" i="9"/>
  <c r="U64" i="9" s="1"/>
  <c r="P63" i="9"/>
  <c r="X63" i="9" s="1"/>
  <c r="P62" i="9"/>
  <c r="V62" i="9" s="1"/>
  <c r="P61" i="9"/>
  <c r="V61" i="9" s="1"/>
  <c r="P60" i="9"/>
  <c r="V60" i="9" s="1"/>
  <c r="P59" i="9"/>
  <c r="V59" i="9" s="1"/>
  <c r="P58" i="9"/>
  <c r="V58" i="9" s="1"/>
  <c r="P57" i="9"/>
  <c r="P56" i="9"/>
  <c r="V56" i="9" s="1"/>
  <c r="P55" i="9"/>
  <c r="X55" i="9" s="1"/>
  <c r="P54" i="9"/>
  <c r="U54" i="9" s="1"/>
  <c r="P53" i="9"/>
  <c r="U53" i="9" s="1"/>
  <c r="P52" i="9"/>
  <c r="X52" i="9" s="1"/>
  <c r="P51" i="9"/>
  <c r="X51" i="9" s="1"/>
  <c r="P50" i="9"/>
  <c r="X50" i="9" s="1"/>
  <c r="P49" i="9"/>
  <c r="U49" i="9" s="1"/>
  <c r="X48" i="9"/>
  <c r="P48" i="9"/>
  <c r="P47" i="9"/>
  <c r="U47" i="9" s="1"/>
  <c r="P46" i="9"/>
  <c r="U46" i="9" s="1"/>
  <c r="P45" i="9"/>
  <c r="U45" i="9" s="1"/>
  <c r="P44" i="9"/>
  <c r="V44" i="9" s="1"/>
  <c r="P43" i="9"/>
  <c r="V43" i="9" s="1"/>
  <c r="P42" i="9"/>
  <c r="V42" i="9" s="1"/>
  <c r="P41" i="9"/>
  <c r="V41" i="9" s="1"/>
  <c r="P40" i="9"/>
  <c r="V40" i="9" s="1"/>
  <c r="P39" i="9"/>
  <c r="V39" i="9" s="1"/>
  <c r="P38" i="9"/>
  <c r="V38" i="9" s="1"/>
  <c r="P37" i="9"/>
  <c r="V37" i="9" s="1"/>
  <c r="P36" i="9"/>
  <c r="X36" i="9" s="1"/>
  <c r="P35" i="9"/>
  <c r="U35" i="9" s="1"/>
  <c r="X34" i="9"/>
  <c r="P34" i="9"/>
  <c r="P33" i="9"/>
  <c r="X33" i="9" s="1"/>
  <c r="P32" i="9"/>
  <c r="X32" i="9" s="1"/>
  <c r="X31" i="9"/>
  <c r="P31" i="9"/>
  <c r="X30" i="9"/>
  <c r="P30" i="9"/>
  <c r="P29" i="9"/>
  <c r="V29" i="9" s="1"/>
  <c r="P28" i="9"/>
  <c r="V28" i="9" s="1"/>
  <c r="P27" i="9"/>
  <c r="U27" i="9" s="1"/>
  <c r="P26" i="9"/>
  <c r="X26" i="9" s="1"/>
  <c r="P25" i="9"/>
  <c r="X25" i="9" s="1"/>
  <c r="P24" i="9"/>
  <c r="X24" i="9" s="1"/>
  <c r="P23" i="9"/>
  <c r="P22" i="9"/>
  <c r="X22" i="9" s="1"/>
  <c r="P21" i="9"/>
  <c r="X21" i="9" s="1"/>
  <c r="P20" i="9"/>
  <c r="X20" i="9" s="1"/>
  <c r="P19" i="9"/>
  <c r="P18" i="9"/>
  <c r="U18" i="9" s="1"/>
  <c r="P17" i="9"/>
  <c r="X17" i="9" s="1"/>
  <c r="P16" i="9"/>
  <c r="U16" i="9" s="1"/>
  <c r="P15" i="9"/>
  <c r="X15" i="9" s="1"/>
  <c r="P14" i="9"/>
  <c r="P13" i="9"/>
  <c r="U13" i="9" s="1"/>
  <c r="P12" i="9"/>
  <c r="X12" i="9" s="1"/>
  <c r="P11" i="9"/>
  <c r="U11" i="9" s="1"/>
  <c r="P10" i="9"/>
  <c r="U10" i="9" s="1"/>
  <c r="P9" i="9"/>
  <c r="U9" i="9" s="1"/>
  <c r="P8" i="9"/>
  <c r="U8" i="9" s="1"/>
  <c r="P7" i="9"/>
  <c r="U7" i="9" s="1"/>
  <c r="P6" i="9"/>
  <c r="U6" i="9" s="1"/>
  <c r="P5" i="9"/>
  <c r="U5" i="9" s="1"/>
  <c r="I9" i="28" l="1"/>
  <c r="I9" i="30"/>
  <c r="K9" i="30" s="1"/>
  <c r="F9" i="28"/>
  <c r="F9" i="30"/>
  <c r="H9" i="30" s="1"/>
  <c r="E7" i="30"/>
  <c r="L11" i="28"/>
  <c r="N11" i="28" s="1"/>
  <c r="O11" i="30"/>
  <c r="E14" i="30"/>
  <c r="I15" i="28"/>
  <c r="K15" i="28" s="1"/>
  <c r="I15" i="30"/>
  <c r="K15" i="30" s="1"/>
  <c r="I21" i="28"/>
  <c r="K21" i="28" s="1"/>
  <c r="I21" i="30"/>
  <c r="K21" i="30" s="1"/>
  <c r="L24" i="28"/>
  <c r="N24" i="28" s="1"/>
  <c r="O24" i="30"/>
  <c r="Q24" i="30" s="1"/>
  <c r="L25" i="28"/>
  <c r="N25" i="28" s="1"/>
  <c r="O25" i="30"/>
  <c r="Q25" i="30" s="1"/>
  <c r="I7" i="28"/>
  <c r="K7" i="28" s="1"/>
  <c r="I7" i="30"/>
  <c r="I12" i="28"/>
  <c r="K12" i="28" s="1"/>
  <c r="I12" i="30"/>
  <c r="K12" i="30" s="1"/>
  <c r="F14" i="28"/>
  <c r="H14" i="28" s="1"/>
  <c r="F14" i="30"/>
  <c r="H14" i="30" s="1"/>
  <c r="C16" i="28"/>
  <c r="O16" i="28" s="1"/>
  <c r="V16" i="28" s="1"/>
  <c r="C16" i="30"/>
  <c r="F24" i="28"/>
  <c r="H24" i="28" s="1"/>
  <c r="F24" i="30"/>
  <c r="I29" i="28"/>
  <c r="K29" i="28" s="1"/>
  <c r="I29" i="30"/>
  <c r="E32" i="30"/>
  <c r="C8" i="28"/>
  <c r="C8" i="30"/>
  <c r="C10" i="28"/>
  <c r="C10" i="30"/>
  <c r="F12" i="28"/>
  <c r="H12" i="28" s="1"/>
  <c r="F12" i="30"/>
  <c r="I14" i="28"/>
  <c r="K14" i="28" s="1"/>
  <c r="I14" i="30"/>
  <c r="K14" i="30" s="1"/>
  <c r="C19" i="28"/>
  <c r="E19" i="28" s="1"/>
  <c r="C19" i="30"/>
  <c r="C21" i="28"/>
  <c r="E21" i="28" s="1"/>
  <c r="C21" i="30"/>
  <c r="I24" i="28"/>
  <c r="K24" i="28" s="1"/>
  <c r="I24" i="30"/>
  <c r="K24" i="30" s="1"/>
  <c r="C25" i="28"/>
  <c r="E25" i="28" s="1"/>
  <c r="C25" i="30"/>
  <c r="C30" i="28"/>
  <c r="E30" i="28" s="1"/>
  <c r="C30" i="30"/>
  <c r="I32" i="28"/>
  <c r="K32" i="28" s="1"/>
  <c r="I32" i="30"/>
  <c r="K32" i="30" s="1"/>
  <c r="C32" i="28"/>
  <c r="O32" i="28" s="1"/>
  <c r="I8" i="28"/>
  <c r="K8" i="28" s="1"/>
  <c r="I8" i="30"/>
  <c r="K8" i="30" s="1"/>
  <c r="I10" i="28"/>
  <c r="K10" i="28" s="1"/>
  <c r="I10" i="30"/>
  <c r="K10" i="30" s="1"/>
  <c r="R11" i="30"/>
  <c r="E11" i="30"/>
  <c r="E15" i="30"/>
  <c r="I19" i="28"/>
  <c r="K19" i="28" s="1"/>
  <c r="I19" i="30"/>
  <c r="K19" i="30" s="1"/>
  <c r="F21" i="28"/>
  <c r="H21" i="28" s="1"/>
  <c r="F21" i="30"/>
  <c r="H21" i="30" s="1"/>
  <c r="C24" i="28"/>
  <c r="C33" i="28" s="1"/>
  <c r="C24" i="30"/>
  <c r="I25" i="28"/>
  <c r="I25" i="30"/>
  <c r="K25" i="30" s="1"/>
  <c r="I30" i="28"/>
  <c r="K30" i="28" s="1"/>
  <c r="I30" i="30"/>
  <c r="K30" i="30" s="1"/>
  <c r="F20" i="28"/>
  <c r="H20" i="28" s="1"/>
  <c r="F20" i="30"/>
  <c r="E15" i="24"/>
  <c r="O31" i="30"/>
  <c r="N12" i="28"/>
  <c r="N15" i="28"/>
  <c r="E31" i="22"/>
  <c r="E20" i="28"/>
  <c r="K20" i="28"/>
  <c r="H17" i="28"/>
  <c r="H16" i="28"/>
  <c r="E98" i="9"/>
  <c r="E12" i="28"/>
  <c r="C14" i="28"/>
  <c r="U56" i="6"/>
  <c r="U73" i="6"/>
  <c r="E30" i="2"/>
  <c r="C7" i="28"/>
  <c r="O7" i="28" s="1"/>
  <c r="V7" i="28" s="1"/>
  <c r="H13" i="28"/>
  <c r="H19" i="28"/>
  <c r="K31" i="28"/>
  <c r="N17" i="28"/>
  <c r="H10" i="28"/>
  <c r="N18" i="28"/>
  <c r="E31" i="28"/>
  <c r="E26" i="28"/>
  <c r="H8" i="28"/>
  <c r="H27" i="28"/>
  <c r="N14" i="28"/>
  <c r="N29" i="28"/>
  <c r="E27" i="28"/>
  <c r="E29" i="28"/>
  <c r="K25" i="28"/>
  <c r="N21" i="28"/>
  <c r="E28" i="28"/>
  <c r="H29" i="28"/>
  <c r="H32" i="28"/>
  <c r="E38" i="25"/>
  <c r="N32" i="28"/>
  <c r="H31" i="28"/>
  <c r="L31" i="28"/>
  <c r="N31" i="28" s="1"/>
  <c r="N30" i="28"/>
  <c r="E66" i="23"/>
  <c r="H30" i="28"/>
  <c r="N28" i="28"/>
  <c r="H28" i="28"/>
  <c r="K28" i="28"/>
  <c r="N27" i="28"/>
  <c r="H26" i="28"/>
  <c r="N26" i="28"/>
  <c r="K26" i="28"/>
  <c r="N20" i="28"/>
  <c r="E58" i="13"/>
  <c r="L18" i="30" s="1"/>
  <c r="H18" i="28"/>
  <c r="E18" i="28"/>
  <c r="K18" i="28"/>
  <c r="K17" i="28"/>
  <c r="E17" i="28"/>
  <c r="E15" i="11"/>
  <c r="E16" i="28"/>
  <c r="K16" i="28"/>
  <c r="N16" i="28"/>
  <c r="H15" i="28"/>
  <c r="W76" i="9"/>
  <c r="U48" i="9"/>
  <c r="N13" i="28"/>
  <c r="E13" i="28"/>
  <c r="K13" i="28"/>
  <c r="V34" i="8"/>
  <c r="U63" i="26"/>
  <c r="E10" i="28"/>
  <c r="K9" i="28"/>
  <c r="H9" i="28"/>
  <c r="E93" i="6"/>
  <c r="N9" i="28"/>
  <c r="E9" i="28"/>
  <c r="N8" i="28"/>
  <c r="E39" i="14"/>
  <c r="L19" i="28"/>
  <c r="E216" i="12"/>
  <c r="L17" i="30" s="1"/>
  <c r="O18" i="28"/>
  <c r="V18" i="28" s="1"/>
  <c r="O17" i="28"/>
  <c r="V17" i="28" s="1"/>
  <c r="E104" i="10"/>
  <c r="C15" i="28"/>
  <c r="E15" i="28" s="1"/>
  <c r="U13" i="26"/>
  <c r="E73" i="26"/>
  <c r="C11" i="28"/>
  <c r="E11" i="28" s="1"/>
  <c r="E39" i="18"/>
  <c r="O21" i="28"/>
  <c r="V21" i="28" s="1"/>
  <c r="O13" i="28"/>
  <c r="O9" i="28"/>
  <c r="V9" i="28" s="1"/>
  <c r="O28" i="28"/>
  <c r="O26" i="28"/>
  <c r="V26" i="28" s="1"/>
  <c r="O25" i="28"/>
  <c r="E35" i="19"/>
  <c r="E106" i="17"/>
  <c r="E145" i="27"/>
  <c r="U115" i="27"/>
  <c r="U117" i="27"/>
  <c r="U116" i="27"/>
  <c r="U5" i="27"/>
  <c r="U110" i="27"/>
  <c r="U113" i="27"/>
  <c r="U112" i="27"/>
  <c r="U114" i="27"/>
  <c r="U61" i="27"/>
  <c r="U111" i="27"/>
  <c r="E43" i="8"/>
  <c r="E129" i="7"/>
  <c r="E30" i="5"/>
  <c r="V6" i="8"/>
  <c r="U82" i="6"/>
  <c r="U31" i="9"/>
  <c r="U34" i="9"/>
  <c r="W79" i="9"/>
  <c r="U30" i="9"/>
  <c r="U80" i="9"/>
  <c r="P96" i="10"/>
  <c r="U96" i="10" s="1"/>
  <c r="P95" i="10"/>
  <c r="X95" i="10" s="1"/>
  <c r="P94" i="10"/>
  <c r="U94" i="10" s="1"/>
  <c r="P93" i="10"/>
  <c r="X93" i="10" s="1"/>
  <c r="P92" i="10"/>
  <c r="U92" i="10" s="1"/>
  <c r="P91" i="10"/>
  <c r="U91" i="10" s="1"/>
  <c r="P90" i="10"/>
  <c r="X90" i="10" s="1"/>
  <c r="P89" i="10"/>
  <c r="X89" i="10" s="1"/>
  <c r="P88" i="10"/>
  <c r="X88" i="10" s="1"/>
  <c r="P87" i="10"/>
  <c r="X87" i="10" s="1"/>
  <c r="P86" i="10"/>
  <c r="U86" i="10" s="1"/>
  <c r="P85" i="10"/>
  <c r="X85" i="10" s="1"/>
  <c r="P84" i="10"/>
  <c r="X84" i="10" s="1"/>
  <c r="P83" i="10"/>
  <c r="X83" i="10" s="1"/>
  <c r="P82" i="10"/>
  <c r="U82" i="10" s="1"/>
  <c r="P81" i="10"/>
  <c r="X81" i="10" s="1"/>
  <c r="P80" i="10"/>
  <c r="U80" i="10" s="1"/>
  <c r="P79" i="10"/>
  <c r="X79" i="10" s="1"/>
  <c r="P78" i="10"/>
  <c r="U78" i="10" s="1"/>
  <c r="P77" i="10"/>
  <c r="U77" i="10" s="1"/>
  <c r="P76" i="10"/>
  <c r="U76" i="10" s="1"/>
  <c r="P75" i="10"/>
  <c r="X75" i="10" s="1"/>
  <c r="P74" i="10"/>
  <c r="U74" i="10" s="1"/>
  <c r="P73" i="10"/>
  <c r="X73" i="10" s="1"/>
  <c r="U72" i="10"/>
  <c r="P72" i="10"/>
  <c r="X71" i="10"/>
  <c r="P71" i="10"/>
  <c r="U70" i="10"/>
  <c r="P70" i="10"/>
  <c r="P69" i="10"/>
  <c r="U69" i="10" s="1"/>
  <c r="P68" i="10"/>
  <c r="V68" i="10" s="1"/>
  <c r="P67" i="10"/>
  <c r="V67" i="10" s="1"/>
  <c r="P66" i="10"/>
  <c r="V66" i="10" s="1"/>
  <c r="P65" i="10"/>
  <c r="V65" i="10" s="1"/>
  <c r="P64" i="10"/>
  <c r="X64" i="10" s="1"/>
  <c r="P63" i="10"/>
  <c r="X63" i="10" s="1"/>
  <c r="P62" i="10"/>
  <c r="X62" i="10" s="1"/>
  <c r="P61" i="10"/>
  <c r="X61" i="10" s="1"/>
  <c r="P60" i="10"/>
  <c r="U60" i="10" s="1"/>
  <c r="P59" i="10"/>
  <c r="U59" i="10" s="1"/>
  <c r="P58" i="10"/>
  <c r="U58" i="10" s="1"/>
  <c r="P57" i="10"/>
  <c r="U57" i="10" s="1"/>
  <c r="P56" i="10"/>
  <c r="P55" i="10"/>
  <c r="P54" i="10"/>
  <c r="P53" i="10"/>
  <c r="P52" i="10"/>
  <c r="P51" i="10"/>
  <c r="P50" i="10"/>
  <c r="X50" i="10" s="1"/>
  <c r="P49" i="10"/>
  <c r="X49" i="10" s="1"/>
  <c r="P48" i="10"/>
  <c r="X48" i="10" s="1"/>
  <c r="P47" i="10"/>
  <c r="X47" i="10" s="1"/>
  <c r="P46" i="10"/>
  <c r="X46" i="10" s="1"/>
  <c r="P45" i="10"/>
  <c r="U45" i="10" s="1"/>
  <c r="P44" i="10"/>
  <c r="U44" i="10" s="1"/>
  <c r="P43" i="10"/>
  <c r="U43" i="10" s="1"/>
  <c r="P42" i="10"/>
  <c r="U42" i="10" s="1"/>
  <c r="P41" i="10"/>
  <c r="P40" i="10"/>
  <c r="U40" i="10" s="1"/>
  <c r="P39" i="10"/>
  <c r="U39" i="10" s="1"/>
  <c r="P38" i="10"/>
  <c r="U38" i="10" s="1"/>
  <c r="P37" i="10"/>
  <c r="P36" i="10"/>
  <c r="U36" i="10" s="1"/>
  <c r="P35" i="10"/>
  <c r="X35" i="10" s="1"/>
  <c r="P34" i="10"/>
  <c r="X34" i="10" s="1"/>
  <c r="P33" i="10"/>
  <c r="U33" i="10" s="1"/>
  <c r="P32" i="10"/>
  <c r="U32" i="10" s="1"/>
  <c r="P31" i="10"/>
  <c r="U31" i="10" s="1"/>
  <c r="P30" i="10"/>
  <c r="U30" i="10" s="1"/>
  <c r="P29" i="10"/>
  <c r="X29" i="10" s="1"/>
  <c r="P28" i="10"/>
  <c r="X28" i="10" s="1"/>
  <c r="P27" i="10"/>
  <c r="X27" i="10" s="1"/>
  <c r="P26" i="10"/>
  <c r="X26" i="10" s="1"/>
  <c r="P25" i="10"/>
  <c r="U25" i="10" s="1"/>
  <c r="P24" i="10"/>
  <c r="U24" i="10" s="1"/>
  <c r="P23" i="10"/>
  <c r="U23" i="10" s="1"/>
  <c r="P22" i="10"/>
  <c r="U22" i="10" s="1"/>
  <c r="P21" i="10"/>
  <c r="P20" i="10"/>
  <c r="X20" i="10" s="1"/>
  <c r="P19" i="10"/>
  <c r="U19" i="10" s="1"/>
  <c r="P18" i="10"/>
  <c r="U18" i="10" s="1"/>
  <c r="P17" i="10"/>
  <c r="U17" i="10" s="1"/>
  <c r="P16" i="10"/>
  <c r="U16" i="10" s="1"/>
  <c r="P15" i="10"/>
  <c r="X15" i="10" s="1"/>
  <c r="P14" i="10"/>
  <c r="X14" i="10" s="1"/>
  <c r="P13" i="10"/>
  <c r="X13" i="10" s="1"/>
  <c r="P12" i="10"/>
  <c r="X12" i="10" s="1"/>
  <c r="P11" i="10"/>
  <c r="X11" i="10" s="1"/>
  <c r="P10" i="10"/>
  <c r="X10" i="10" s="1"/>
  <c r="P9" i="10"/>
  <c r="X9" i="10" s="1"/>
  <c r="P8" i="10"/>
  <c r="X8" i="10" s="1"/>
  <c r="P7" i="10"/>
  <c r="U7" i="10" s="1"/>
  <c r="P6" i="10"/>
  <c r="U6" i="10" s="1"/>
  <c r="P5" i="10"/>
  <c r="U5" i="10" s="1"/>
  <c r="P6" i="11"/>
  <c r="U6" i="11" s="1"/>
  <c r="P5" i="11"/>
  <c r="U5" i="11" s="1"/>
  <c r="P208" i="12"/>
  <c r="U208" i="12" s="1"/>
  <c r="P207" i="12"/>
  <c r="U207" i="12" s="1"/>
  <c r="P206" i="12"/>
  <c r="P205" i="12"/>
  <c r="U205" i="12" s="1"/>
  <c r="P204" i="12"/>
  <c r="X204" i="12" s="1"/>
  <c r="P203" i="12"/>
  <c r="U203" i="12" s="1"/>
  <c r="P202" i="12"/>
  <c r="X202" i="12" s="1"/>
  <c r="P201" i="12"/>
  <c r="X201" i="12" s="1"/>
  <c r="P200" i="12"/>
  <c r="X200" i="12" s="1"/>
  <c r="P199" i="12"/>
  <c r="P198" i="12"/>
  <c r="P197" i="12"/>
  <c r="X197" i="12" s="1"/>
  <c r="P196" i="12"/>
  <c r="X196" i="12" s="1"/>
  <c r="P195" i="12"/>
  <c r="U195" i="12" s="1"/>
  <c r="P194" i="12"/>
  <c r="P193" i="12"/>
  <c r="X193" i="12" s="1"/>
  <c r="P192" i="12"/>
  <c r="U192" i="12" s="1"/>
  <c r="P191" i="12"/>
  <c r="X191" i="12" s="1"/>
  <c r="P190" i="12"/>
  <c r="U190" i="12" s="1"/>
  <c r="P189" i="12"/>
  <c r="X189" i="12" s="1"/>
  <c r="P188" i="12"/>
  <c r="U188" i="12" s="1"/>
  <c r="P187" i="12"/>
  <c r="U187" i="12" s="1"/>
  <c r="P186" i="12"/>
  <c r="V186" i="12" s="1"/>
  <c r="P185" i="12"/>
  <c r="X185" i="12" s="1"/>
  <c r="P184" i="12"/>
  <c r="X184" i="12" s="1"/>
  <c r="X183" i="12"/>
  <c r="P183" i="12"/>
  <c r="P182" i="12"/>
  <c r="X182" i="12" s="1"/>
  <c r="X181" i="12"/>
  <c r="P181" i="12"/>
  <c r="P180" i="12"/>
  <c r="X180" i="12" s="1"/>
  <c r="P179" i="12"/>
  <c r="X178" i="12"/>
  <c r="P178" i="12"/>
  <c r="P177" i="12"/>
  <c r="U177" i="12" s="1"/>
  <c r="P176" i="12"/>
  <c r="X176" i="12" s="1"/>
  <c r="P175" i="12"/>
  <c r="U175" i="12" s="1"/>
  <c r="P174" i="12"/>
  <c r="X174" i="12" s="1"/>
  <c r="P173" i="12"/>
  <c r="U173" i="12" s="1"/>
  <c r="P172" i="12"/>
  <c r="X172" i="12" s="1"/>
  <c r="P171" i="12"/>
  <c r="U171" i="12" s="1"/>
  <c r="X170" i="12"/>
  <c r="P170" i="12"/>
  <c r="X169" i="12"/>
  <c r="P169" i="12"/>
  <c r="P168" i="12"/>
  <c r="U168" i="12" s="1"/>
  <c r="P167" i="12"/>
  <c r="U167" i="12" s="1"/>
  <c r="P166" i="12"/>
  <c r="U166" i="12" s="1"/>
  <c r="P165" i="12"/>
  <c r="U165" i="12" s="1"/>
  <c r="P164" i="12"/>
  <c r="U164" i="12" s="1"/>
  <c r="P163" i="12"/>
  <c r="U163" i="12" s="1"/>
  <c r="P162" i="12"/>
  <c r="U162" i="12" s="1"/>
  <c r="P161" i="12"/>
  <c r="U161" i="12" s="1"/>
  <c r="P160" i="12"/>
  <c r="U160" i="12" s="1"/>
  <c r="P159" i="12"/>
  <c r="U159" i="12" s="1"/>
  <c r="P158" i="12"/>
  <c r="P157" i="12"/>
  <c r="X157" i="12" s="1"/>
  <c r="P156" i="12"/>
  <c r="U156" i="12" s="1"/>
  <c r="P155" i="12"/>
  <c r="U155" i="12" s="1"/>
  <c r="P154" i="12"/>
  <c r="U154" i="12" s="1"/>
  <c r="P153" i="12"/>
  <c r="X153" i="12" s="1"/>
  <c r="U152" i="12"/>
  <c r="P152" i="12"/>
  <c r="X151" i="12"/>
  <c r="P151" i="12"/>
  <c r="U150" i="12"/>
  <c r="P150" i="12"/>
  <c r="P149" i="12"/>
  <c r="X149" i="12" s="1"/>
  <c r="P148" i="12"/>
  <c r="U148" i="12" s="1"/>
  <c r="P147" i="12"/>
  <c r="X147" i="12" s="1"/>
  <c r="P146" i="12"/>
  <c r="U146" i="12" s="1"/>
  <c r="P145" i="12"/>
  <c r="U145" i="12" s="1"/>
  <c r="P144" i="12"/>
  <c r="X144" i="12" s="1"/>
  <c r="P143" i="12"/>
  <c r="X143" i="12" s="1"/>
  <c r="P142" i="12"/>
  <c r="U142" i="12" s="1"/>
  <c r="P141" i="12"/>
  <c r="X141" i="12" s="1"/>
  <c r="P140" i="12"/>
  <c r="U140" i="12" s="1"/>
  <c r="P139" i="12"/>
  <c r="X139" i="12" s="1"/>
  <c r="P138" i="12"/>
  <c r="U138" i="12" s="1"/>
  <c r="P137" i="12"/>
  <c r="X137" i="12" s="1"/>
  <c r="P136" i="12"/>
  <c r="U136" i="12" s="1"/>
  <c r="P135" i="12"/>
  <c r="X135" i="12" s="1"/>
  <c r="P134" i="12"/>
  <c r="U134" i="12" s="1"/>
  <c r="P133" i="12"/>
  <c r="P132" i="12"/>
  <c r="X132" i="12" s="1"/>
  <c r="P131" i="12"/>
  <c r="X131" i="12" s="1"/>
  <c r="P130" i="12"/>
  <c r="X130" i="12" s="1"/>
  <c r="X129" i="12"/>
  <c r="P129" i="12"/>
  <c r="X128" i="12"/>
  <c r="P128" i="12"/>
  <c r="P127" i="12"/>
  <c r="U127" i="12" s="1"/>
  <c r="P126" i="12"/>
  <c r="U126" i="12" s="1"/>
  <c r="P125" i="12"/>
  <c r="X125" i="12" s="1"/>
  <c r="P124" i="12"/>
  <c r="U124" i="12" s="1"/>
  <c r="P123" i="12"/>
  <c r="X123" i="12" s="1"/>
  <c r="P122" i="12"/>
  <c r="U122" i="12" s="1"/>
  <c r="P121" i="12"/>
  <c r="X121" i="12" s="1"/>
  <c r="P120" i="12"/>
  <c r="U120" i="12" s="1"/>
  <c r="P119" i="12"/>
  <c r="X119" i="12" s="1"/>
  <c r="P118" i="12"/>
  <c r="U118" i="12" s="1"/>
  <c r="P117" i="12"/>
  <c r="U117" i="12" s="1"/>
  <c r="P116" i="12"/>
  <c r="U116" i="12" s="1"/>
  <c r="P115" i="12"/>
  <c r="U115" i="12" s="1"/>
  <c r="P114" i="12"/>
  <c r="U114" i="12" s="1"/>
  <c r="P113" i="12"/>
  <c r="U113" i="12" s="1"/>
  <c r="P112" i="12"/>
  <c r="X112" i="12" s="1"/>
  <c r="P111" i="12"/>
  <c r="U111" i="12" s="1"/>
  <c r="P110" i="12"/>
  <c r="X110" i="12" s="1"/>
  <c r="P109" i="12"/>
  <c r="U109" i="12" s="1"/>
  <c r="P108" i="12"/>
  <c r="X108" i="12" s="1"/>
  <c r="P107" i="12"/>
  <c r="U107" i="12" s="1"/>
  <c r="P106" i="12"/>
  <c r="X106" i="12" s="1"/>
  <c r="P105" i="12"/>
  <c r="U105" i="12" s="1"/>
  <c r="P104" i="12"/>
  <c r="X104" i="12" s="1"/>
  <c r="P103" i="12"/>
  <c r="U103" i="12" s="1"/>
  <c r="P102" i="12"/>
  <c r="X102" i="12" s="1"/>
  <c r="P101" i="12"/>
  <c r="U101" i="12" s="1"/>
  <c r="P100" i="12"/>
  <c r="X100" i="12" s="1"/>
  <c r="P99" i="12"/>
  <c r="U99" i="12" s="1"/>
  <c r="P98" i="12"/>
  <c r="X98" i="12" s="1"/>
  <c r="P97" i="12"/>
  <c r="U97" i="12" s="1"/>
  <c r="P96" i="12"/>
  <c r="P95" i="12"/>
  <c r="X95" i="12" s="1"/>
  <c r="P94" i="12"/>
  <c r="U94" i="12" s="1"/>
  <c r="P93" i="12"/>
  <c r="X93" i="12" s="1"/>
  <c r="P92" i="12"/>
  <c r="U92" i="12" s="1"/>
  <c r="P91" i="12"/>
  <c r="X91" i="12" s="1"/>
  <c r="P90" i="12"/>
  <c r="U90" i="12" s="1"/>
  <c r="P89" i="12"/>
  <c r="X89" i="12" s="1"/>
  <c r="P88" i="12"/>
  <c r="U88" i="12" s="1"/>
  <c r="P87" i="12"/>
  <c r="X87" i="12" s="1"/>
  <c r="P86" i="12"/>
  <c r="U86" i="12" s="1"/>
  <c r="P85" i="12"/>
  <c r="X85" i="12" s="1"/>
  <c r="P84" i="12"/>
  <c r="U84" i="12" s="1"/>
  <c r="P83" i="12"/>
  <c r="X83" i="12" s="1"/>
  <c r="P82" i="12"/>
  <c r="U82" i="12" s="1"/>
  <c r="P81" i="12"/>
  <c r="X81" i="12" s="1"/>
  <c r="P80" i="12"/>
  <c r="U80" i="12" s="1"/>
  <c r="P79" i="12"/>
  <c r="U79" i="12" s="1"/>
  <c r="P78" i="12"/>
  <c r="X78" i="12" s="1"/>
  <c r="P77" i="12"/>
  <c r="U77" i="12" s="1"/>
  <c r="P76" i="12"/>
  <c r="U76" i="12" s="1"/>
  <c r="P75" i="12"/>
  <c r="X75" i="12" s="1"/>
  <c r="X74" i="12"/>
  <c r="P74" i="12"/>
  <c r="P73" i="12"/>
  <c r="P72" i="12"/>
  <c r="X72" i="12" s="1"/>
  <c r="P71" i="12"/>
  <c r="X71" i="12" s="1"/>
  <c r="P70" i="12"/>
  <c r="X70" i="12" s="1"/>
  <c r="P69" i="12"/>
  <c r="X69" i="12" s="1"/>
  <c r="P68" i="12"/>
  <c r="P67" i="12"/>
  <c r="X67" i="12" s="1"/>
  <c r="P66" i="12"/>
  <c r="U66" i="12" s="1"/>
  <c r="P65" i="12"/>
  <c r="X65" i="12" s="1"/>
  <c r="P64" i="12"/>
  <c r="U64" i="12" s="1"/>
  <c r="P63" i="12"/>
  <c r="X63" i="12" s="1"/>
  <c r="P62" i="12"/>
  <c r="U62" i="12" s="1"/>
  <c r="P61" i="12"/>
  <c r="X61" i="12" s="1"/>
  <c r="P60" i="12"/>
  <c r="U60" i="12" s="1"/>
  <c r="P59" i="12"/>
  <c r="X59" i="12" s="1"/>
  <c r="P58" i="12"/>
  <c r="U58" i="12" s="1"/>
  <c r="P57" i="12"/>
  <c r="X57" i="12" s="1"/>
  <c r="P56" i="12"/>
  <c r="U56" i="12" s="1"/>
  <c r="P55" i="12"/>
  <c r="X55" i="12" s="1"/>
  <c r="P54" i="12"/>
  <c r="U54" i="12" s="1"/>
  <c r="P53" i="12"/>
  <c r="X53" i="12" s="1"/>
  <c r="P52" i="12"/>
  <c r="U52" i="12" s="1"/>
  <c r="P51" i="12"/>
  <c r="U51" i="12" s="1"/>
  <c r="P50" i="12"/>
  <c r="X50" i="12" s="1"/>
  <c r="P49" i="12"/>
  <c r="U49" i="12" s="1"/>
  <c r="P48" i="12"/>
  <c r="X48" i="12" s="1"/>
  <c r="P47" i="12"/>
  <c r="U47" i="12" s="1"/>
  <c r="P46" i="12"/>
  <c r="X46" i="12" s="1"/>
  <c r="P45" i="12"/>
  <c r="U45" i="12" s="1"/>
  <c r="P44" i="12"/>
  <c r="X44" i="12" s="1"/>
  <c r="P43" i="12"/>
  <c r="U43" i="12" s="1"/>
  <c r="P42" i="12"/>
  <c r="X42" i="12" s="1"/>
  <c r="P41" i="12"/>
  <c r="U41" i="12" s="1"/>
  <c r="P40" i="12"/>
  <c r="U40" i="12" s="1"/>
  <c r="P39" i="12"/>
  <c r="X39" i="12" s="1"/>
  <c r="P38" i="12"/>
  <c r="U38" i="12" s="1"/>
  <c r="P37" i="12"/>
  <c r="X37" i="12" s="1"/>
  <c r="P36" i="12"/>
  <c r="U36" i="12" s="1"/>
  <c r="P35" i="12"/>
  <c r="X35" i="12" s="1"/>
  <c r="P34" i="12"/>
  <c r="U34" i="12" s="1"/>
  <c r="P33" i="12"/>
  <c r="U33" i="12" s="1"/>
  <c r="P32" i="12"/>
  <c r="X32" i="12" s="1"/>
  <c r="P31" i="12"/>
  <c r="U31" i="12" s="1"/>
  <c r="P30" i="12"/>
  <c r="X30" i="12" s="1"/>
  <c r="P29" i="12"/>
  <c r="U29" i="12" s="1"/>
  <c r="P28" i="12"/>
  <c r="X28" i="12" s="1"/>
  <c r="P27" i="12"/>
  <c r="U27" i="12" s="1"/>
  <c r="P26" i="12"/>
  <c r="X26" i="12" s="1"/>
  <c r="P25" i="12"/>
  <c r="U25" i="12" s="1"/>
  <c r="P24" i="12"/>
  <c r="X24" i="12" s="1"/>
  <c r="P23" i="12"/>
  <c r="U23" i="12" s="1"/>
  <c r="P22" i="12"/>
  <c r="X22" i="12" s="1"/>
  <c r="P21" i="12"/>
  <c r="U21" i="12" s="1"/>
  <c r="P20" i="12"/>
  <c r="X20" i="12" s="1"/>
  <c r="P19" i="12"/>
  <c r="U19" i="12" s="1"/>
  <c r="P18" i="12"/>
  <c r="U18" i="12" s="1"/>
  <c r="P17" i="12"/>
  <c r="U17" i="12" s="1"/>
  <c r="P16" i="12"/>
  <c r="U16" i="12" s="1"/>
  <c r="P15" i="12"/>
  <c r="X15" i="12" s="1"/>
  <c r="P14" i="12"/>
  <c r="U14" i="12" s="1"/>
  <c r="P13" i="12"/>
  <c r="U13" i="12" s="1"/>
  <c r="P12" i="12"/>
  <c r="P11" i="12"/>
  <c r="U11" i="12" s="1"/>
  <c r="P10" i="12"/>
  <c r="P9" i="12"/>
  <c r="U9" i="12" s="1"/>
  <c r="P8" i="12"/>
  <c r="P7" i="12"/>
  <c r="U7" i="12" s="1"/>
  <c r="P6" i="12"/>
  <c r="P5" i="12"/>
  <c r="U5" i="12" s="1"/>
  <c r="P50" i="13"/>
  <c r="X50" i="13" s="1"/>
  <c r="P49" i="13"/>
  <c r="X49" i="13" s="1"/>
  <c r="U49" i="13" s="1"/>
  <c r="P48" i="13"/>
  <c r="X48" i="13" s="1"/>
  <c r="U48" i="13" s="1"/>
  <c r="U47" i="13"/>
  <c r="P47" i="13"/>
  <c r="U46" i="13"/>
  <c r="P46" i="13"/>
  <c r="P45" i="13"/>
  <c r="X45" i="13" s="1"/>
  <c r="P44" i="13"/>
  <c r="U44" i="13" s="1"/>
  <c r="P43" i="13"/>
  <c r="X43" i="13" s="1"/>
  <c r="P42" i="13"/>
  <c r="U42" i="13" s="1"/>
  <c r="P41" i="13"/>
  <c r="U41" i="13" s="1"/>
  <c r="P40" i="13"/>
  <c r="U40" i="13" s="1"/>
  <c r="P39" i="13"/>
  <c r="V39" i="13" s="1"/>
  <c r="P38" i="13"/>
  <c r="V38" i="13" s="1"/>
  <c r="P37" i="13"/>
  <c r="V37" i="13" s="1"/>
  <c r="P36" i="13"/>
  <c r="V36" i="13" s="1"/>
  <c r="P35" i="13"/>
  <c r="V35" i="13" s="1"/>
  <c r="P34" i="13"/>
  <c r="P33" i="13"/>
  <c r="V33" i="13" s="1"/>
  <c r="P32" i="13"/>
  <c r="V32" i="13" s="1"/>
  <c r="P31" i="13"/>
  <c r="V31" i="13" s="1"/>
  <c r="P30" i="13"/>
  <c r="V30" i="13" s="1"/>
  <c r="P29" i="13"/>
  <c r="X29" i="13" s="1"/>
  <c r="P28" i="13"/>
  <c r="X28" i="13" s="1"/>
  <c r="P27" i="13"/>
  <c r="U27" i="13" s="1"/>
  <c r="P26" i="13"/>
  <c r="U26" i="13" s="1"/>
  <c r="P25" i="13"/>
  <c r="X25" i="13" s="1"/>
  <c r="P24" i="13"/>
  <c r="X24" i="13" s="1"/>
  <c r="U24" i="13" s="1"/>
  <c r="P23" i="13"/>
  <c r="X23" i="13" s="1"/>
  <c r="P22" i="13"/>
  <c r="X22" i="13" s="1"/>
  <c r="P21" i="13"/>
  <c r="U21" i="13" s="1"/>
  <c r="P20" i="13"/>
  <c r="X20" i="13" s="1"/>
  <c r="P19" i="13"/>
  <c r="X19" i="13" s="1"/>
  <c r="P18" i="13"/>
  <c r="U18" i="13" s="1"/>
  <c r="P17" i="13"/>
  <c r="U17" i="13" s="1"/>
  <c r="P16" i="13"/>
  <c r="X16" i="13" s="1"/>
  <c r="P15" i="13"/>
  <c r="X15" i="13" s="1"/>
  <c r="U15" i="13" s="1"/>
  <c r="P14" i="13"/>
  <c r="X14" i="13" s="1"/>
  <c r="U14" i="13" s="1"/>
  <c r="P13" i="13"/>
  <c r="X13" i="13" s="1"/>
  <c r="U13" i="13" s="1"/>
  <c r="P12" i="13"/>
  <c r="X12" i="13" s="1"/>
  <c r="U12" i="13" s="1"/>
  <c r="P11" i="13"/>
  <c r="X11" i="13" s="1"/>
  <c r="P10" i="13"/>
  <c r="P9" i="13"/>
  <c r="U9" i="13" s="1"/>
  <c r="P8" i="13"/>
  <c r="X8" i="13" s="1"/>
  <c r="U8" i="13" s="1"/>
  <c r="P7" i="13"/>
  <c r="X7" i="13" s="1"/>
  <c r="P6" i="13"/>
  <c r="V6" i="13" s="1"/>
  <c r="P5" i="13"/>
  <c r="V5" i="13" s="1"/>
  <c r="O8" i="28" l="1"/>
  <c r="V8" i="28" s="1"/>
  <c r="S15" i="30"/>
  <c r="O29" i="28"/>
  <c r="V29" i="28" s="1"/>
  <c r="O24" i="28"/>
  <c r="V24" i="28" s="1"/>
  <c r="O30" i="28"/>
  <c r="V30" i="28" s="1"/>
  <c r="E32" i="28"/>
  <c r="E24" i="28"/>
  <c r="P24" i="28" s="1"/>
  <c r="O14" i="28"/>
  <c r="V14" i="28" s="1"/>
  <c r="O12" i="28"/>
  <c r="W12" i="28" s="1"/>
  <c r="O10" i="28"/>
  <c r="V10" i="28" s="1"/>
  <c r="E8" i="28"/>
  <c r="P8" i="28" s="1"/>
  <c r="S8" i="28" s="1"/>
  <c r="I22" i="28"/>
  <c r="F33" i="28"/>
  <c r="O19" i="28"/>
  <c r="V19" i="28" s="1"/>
  <c r="R15" i="30"/>
  <c r="Y15" i="30" s="1"/>
  <c r="R18" i="30"/>
  <c r="N18" i="30"/>
  <c r="S18" i="30" s="1"/>
  <c r="C33" i="30"/>
  <c r="R24" i="30"/>
  <c r="E24" i="30"/>
  <c r="R32" i="30"/>
  <c r="R9" i="30"/>
  <c r="N9" i="30"/>
  <c r="S9" i="30" s="1"/>
  <c r="Y11" i="30"/>
  <c r="U11" i="30"/>
  <c r="R30" i="30"/>
  <c r="E30" i="30"/>
  <c r="S30" i="30" s="1"/>
  <c r="R19" i="30"/>
  <c r="E19" i="30"/>
  <c r="S19" i="30" s="1"/>
  <c r="R12" i="30"/>
  <c r="H12" i="30"/>
  <c r="S12" i="30" s="1"/>
  <c r="R8" i="30"/>
  <c r="E8" i="30"/>
  <c r="S8" i="30" s="1"/>
  <c r="K29" i="30"/>
  <c r="S29" i="30" s="1"/>
  <c r="R29" i="30"/>
  <c r="R16" i="30"/>
  <c r="E16" i="30"/>
  <c r="S16" i="30" s="1"/>
  <c r="S14" i="30"/>
  <c r="C22" i="30"/>
  <c r="R17" i="30"/>
  <c r="N17" i="30"/>
  <c r="S17" i="30" s="1"/>
  <c r="R14" i="30"/>
  <c r="R25" i="30"/>
  <c r="E25" i="30"/>
  <c r="S25" i="30" s="1"/>
  <c r="R21" i="30"/>
  <c r="E21" i="30"/>
  <c r="S21" i="30" s="1"/>
  <c r="E10" i="30"/>
  <c r="S10" i="30" s="1"/>
  <c r="R10" i="30"/>
  <c r="S32" i="30"/>
  <c r="V32" i="30" s="1"/>
  <c r="F33" i="30"/>
  <c r="H24" i="30"/>
  <c r="H33" i="30" s="1"/>
  <c r="K7" i="30"/>
  <c r="I22" i="30"/>
  <c r="Q11" i="30"/>
  <c r="Q22" i="30" s="1"/>
  <c r="O22" i="30"/>
  <c r="R7" i="30"/>
  <c r="F22" i="28"/>
  <c r="F35" i="28" s="1"/>
  <c r="O20" i="28"/>
  <c r="V20" i="28" s="1"/>
  <c r="L20" i="30"/>
  <c r="H20" i="30"/>
  <c r="F22" i="30"/>
  <c r="O33" i="30"/>
  <c r="Q31" i="30"/>
  <c r="R31" i="30"/>
  <c r="E14" i="28"/>
  <c r="P14" i="28" s="1"/>
  <c r="E7" i="28"/>
  <c r="P7" i="28" s="1"/>
  <c r="S7" i="28" s="1"/>
  <c r="L33" i="28"/>
  <c r="W24" i="28"/>
  <c r="W25" i="28"/>
  <c r="V25" i="28"/>
  <c r="V32" i="28"/>
  <c r="O31" i="28"/>
  <c r="V31" i="28" s="1"/>
  <c r="W28" i="28"/>
  <c r="V28" i="28"/>
  <c r="N19" i="28"/>
  <c r="P19" i="28" s="1"/>
  <c r="V13" i="28"/>
  <c r="O11" i="28"/>
  <c r="P11" i="28"/>
  <c r="L22" i="28"/>
  <c r="H33" i="28"/>
  <c r="W21" i="28"/>
  <c r="R21" i="28"/>
  <c r="W17" i="28"/>
  <c r="W18" i="28"/>
  <c r="O15" i="28"/>
  <c r="W9" i="28"/>
  <c r="W16" i="28"/>
  <c r="W72" i="10"/>
  <c r="U71" i="10"/>
  <c r="C22" i="28"/>
  <c r="C35" i="28" s="1"/>
  <c r="P12" i="28"/>
  <c r="P20" i="28"/>
  <c r="P16" i="28"/>
  <c r="S16" i="28" s="1"/>
  <c r="P30" i="28"/>
  <c r="P15" i="28"/>
  <c r="P17" i="28"/>
  <c r="S17" i="28" s="1"/>
  <c r="P18" i="28"/>
  <c r="S18" i="28" s="1"/>
  <c r="H22" i="28"/>
  <c r="P21" i="28"/>
  <c r="S21" i="28" s="1"/>
  <c r="P10" i="28"/>
  <c r="P29" i="28"/>
  <c r="P31" i="28"/>
  <c r="P28" i="28"/>
  <c r="P9" i="28"/>
  <c r="S9" i="28" s="1"/>
  <c r="K22" i="28"/>
  <c r="P13" i="28"/>
  <c r="S13" i="28" s="1"/>
  <c r="N33" i="28"/>
  <c r="P26" i="28"/>
  <c r="S26" i="28" s="1"/>
  <c r="P25" i="28"/>
  <c r="S25" i="28" s="1"/>
  <c r="W46" i="13"/>
  <c r="W70" i="10"/>
  <c r="U129" i="12"/>
  <c r="W150" i="12"/>
  <c r="W152" i="12"/>
  <c r="U169" i="12"/>
  <c r="U74" i="12"/>
  <c r="U128" i="12"/>
  <c r="U151" i="12"/>
  <c r="U178" i="12"/>
  <c r="U181" i="12"/>
  <c r="U184" i="12"/>
  <c r="U170" i="12"/>
  <c r="U183" i="12"/>
  <c r="U196" i="12"/>
  <c r="X198" i="12"/>
  <c r="U198" i="12" s="1"/>
  <c r="X199" i="12"/>
  <c r="U199" i="12" s="1"/>
  <c r="W47" i="13"/>
  <c r="X10" i="13"/>
  <c r="U10" i="13" s="1"/>
  <c r="W20" i="28" l="1"/>
  <c r="F35" i="30"/>
  <c r="S29" i="28"/>
  <c r="S24" i="28"/>
  <c r="E33" i="28"/>
  <c r="W14" i="28"/>
  <c r="S14" i="28"/>
  <c r="S12" i="28"/>
  <c r="P32" i="28"/>
  <c r="S32" i="28" s="1"/>
  <c r="S10" i="28"/>
  <c r="V12" i="28"/>
  <c r="W30" i="28"/>
  <c r="S30" i="28"/>
  <c r="S19" i="28"/>
  <c r="C35" i="30"/>
  <c r="V12" i="30"/>
  <c r="V9" i="30"/>
  <c r="V15" i="30"/>
  <c r="V10" i="30"/>
  <c r="V17" i="30"/>
  <c r="V16" i="30"/>
  <c r="V8" i="30"/>
  <c r="V18" i="30"/>
  <c r="Z15" i="30"/>
  <c r="V30" i="30"/>
  <c r="O35" i="30"/>
  <c r="V21" i="30"/>
  <c r="Z14" i="30"/>
  <c r="Y14" i="30"/>
  <c r="V14" i="30"/>
  <c r="V29" i="30"/>
  <c r="Z12" i="30"/>
  <c r="Y12" i="30"/>
  <c r="Y30" i="30"/>
  <c r="Z30" i="30"/>
  <c r="Y9" i="30"/>
  <c r="Z9" i="30"/>
  <c r="Y24" i="30"/>
  <c r="Z24" i="30"/>
  <c r="Z21" i="30"/>
  <c r="Y21" i="30"/>
  <c r="U21" i="30"/>
  <c r="V19" i="30"/>
  <c r="Y32" i="30"/>
  <c r="Y7" i="30"/>
  <c r="S7" i="30"/>
  <c r="V7" i="30" s="1"/>
  <c r="K22" i="30"/>
  <c r="Y10" i="30"/>
  <c r="V25" i="30"/>
  <c r="Y17" i="30"/>
  <c r="Z17" i="30"/>
  <c r="Y16" i="30"/>
  <c r="Z16" i="30"/>
  <c r="Y8" i="30"/>
  <c r="Y19" i="30"/>
  <c r="S11" i="30"/>
  <c r="V11" i="30" s="1"/>
  <c r="Z25" i="30"/>
  <c r="Y25" i="30"/>
  <c r="E22" i="30"/>
  <c r="Y29" i="30"/>
  <c r="S24" i="30"/>
  <c r="V24" i="30" s="1"/>
  <c r="E33" i="30"/>
  <c r="Z18" i="30"/>
  <c r="Y18" i="30"/>
  <c r="S20" i="28"/>
  <c r="L22" i="30"/>
  <c r="L35" i="30" s="1"/>
  <c r="N20" i="30"/>
  <c r="N22" i="30" s="1"/>
  <c r="N35" i="30" s="1"/>
  <c r="H41" i="30" s="1"/>
  <c r="N41" i="30" s="1"/>
  <c r="H22" i="30"/>
  <c r="H35" i="30" s="1"/>
  <c r="H39" i="30" s="1"/>
  <c r="R20" i="30"/>
  <c r="S31" i="30"/>
  <c r="Q33" i="30"/>
  <c r="Q35" i="30" s="1"/>
  <c r="H42" i="30" s="1"/>
  <c r="Y31" i="30"/>
  <c r="Z31" i="30"/>
  <c r="S31" i="28"/>
  <c r="E22" i="28"/>
  <c r="L35" i="28"/>
  <c r="S15" i="28"/>
  <c r="W31" i="28"/>
  <c r="W15" i="28"/>
  <c r="V15" i="28"/>
  <c r="R11" i="28"/>
  <c r="V11" i="28"/>
  <c r="S11" i="28"/>
  <c r="O22" i="28"/>
  <c r="N22" i="28"/>
  <c r="N35" i="28" s="1"/>
  <c r="H42" i="28" s="1"/>
  <c r="K42" i="30" s="1"/>
  <c r="H35" i="28"/>
  <c r="P22" i="28"/>
  <c r="P31" i="14"/>
  <c r="U31" i="14" s="1"/>
  <c r="P30" i="14"/>
  <c r="U30" i="14" s="1"/>
  <c r="P29" i="14"/>
  <c r="U29" i="14" s="1"/>
  <c r="P28" i="14"/>
  <c r="X28" i="14" s="1"/>
  <c r="P27" i="14"/>
  <c r="X27" i="14" s="1"/>
  <c r="P26" i="14"/>
  <c r="X26" i="14" s="1"/>
  <c r="P25" i="14"/>
  <c r="X25" i="14" s="1"/>
  <c r="P24" i="14"/>
  <c r="X24" i="14" s="1"/>
  <c r="P23" i="14"/>
  <c r="U23" i="14" s="1"/>
  <c r="P22" i="14"/>
  <c r="U22" i="14" s="1"/>
  <c r="P21" i="14"/>
  <c r="U21" i="14" s="1"/>
  <c r="P20" i="14"/>
  <c r="U20" i="14" s="1"/>
  <c r="P19" i="14"/>
  <c r="U19" i="14" s="1"/>
  <c r="P18" i="14"/>
  <c r="U18" i="14" s="1"/>
  <c r="P17" i="14"/>
  <c r="U17" i="14" s="1"/>
  <c r="P16" i="14"/>
  <c r="U16" i="14" s="1"/>
  <c r="P15" i="14"/>
  <c r="U15" i="14" s="1"/>
  <c r="P14" i="14"/>
  <c r="U14" i="14" s="1"/>
  <c r="P13" i="14"/>
  <c r="U13" i="14" s="1"/>
  <c r="P12" i="14"/>
  <c r="U12" i="14" s="1"/>
  <c r="P11" i="14"/>
  <c r="U11" i="14" s="1"/>
  <c r="P10" i="14"/>
  <c r="U10" i="14" s="1"/>
  <c r="P9" i="14"/>
  <c r="U9" i="14" s="1"/>
  <c r="P8" i="14"/>
  <c r="U8" i="14" s="1"/>
  <c r="P7" i="14"/>
  <c r="U7" i="14" s="1"/>
  <c r="P6" i="14"/>
  <c r="U6" i="14" s="1"/>
  <c r="P5" i="14"/>
  <c r="X5" i="14" s="1"/>
  <c r="P134" i="15"/>
  <c r="V134" i="15" s="1"/>
  <c r="P133" i="15"/>
  <c r="V133" i="15" s="1"/>
  <c r="P132" i="15"/>
  <c r="V132" i="15" s="1"/>
  <c r="P131" i="15"/>
  <c r="X131" i="15" s="1"/>
  <c r="P130" i="15"/>
  <c r="X130" i="15" s="1"/>
  <c r="P129" i="15"/>
  <c r="V129" i="15" s="1"/>
  <c r="P128" i="15"/>
  <c r="X128" i="15" s="1"/>
  <c r="P127" i="15"/>
  <c r="V127" i="15" s="1"/>
  <c r="P126" i="15"/>
  <c r="V126" i="15" s="1"/>
  <c r="P125" i="15"/>
  <c r="V125" i="15" s="1"/>
  <c r="P124" i="15"/>
  <c r="V124" i="15" s="1"/>
  <c r="P123" i="15"/>
  <c r="V123" i="15" s="1"/>
  <c r="P122" i="15"/>
  <c r="V122" i="15" s="1"/>
  <c r="P121" i="15"/>
  <c r="V121" i="15" s="1"/>
  <c r="P120" i="15"/>
  <c r="V120" i="15" s="1"/>
  <c r="P119" i="15"/>
  <c r="V119" i="15" s="1"/>
  <c r="P118" i="15"/>
  <c r="V118" i="15" s="1"/>
  <c r="P117" i="15"/>
  <c r="V117" i="15" s="1"/>
  <c r="P116" i="15"/>
  <c r="V116" i="15" s="1"/>
  <c r="P115" i="15"/>
  <c r="V115" i="15" s="1"/>
  <c r="P114" i="15"/>
  <c r="X114" i="15" s="1"/>
  <c r="P113" i="15"/>
  <c r="X113" i="15" s="1"/>
  <c r="P112" i="15"/>
  <c r="V112" i="15" s="1"/>
  <c r="P111" i="15"/>
  <c r="V111" i="15" s="1"/>
  <c r="P110" i="15"/>
  <c r="V110" i="15" s="1"/>
  <c r="P109" i="15"/>
  <c r="V109" i="15" s="1"/>
  <c r="P108" i="15"/>
  <c r="V108" i="15" s="1"/>
  <c r="P107" i="15"/>
  <c r="V107" i="15" s="1"/>
  <c r="P106" i="15"/>
  <c r="V106" i="15" s="1"/>
  <c r="P105" i="15"/>
  <c r="U105" i="15" s="1"/>
  <c r="P104" i="15"/>
  <c r="V104" i="15" s="1"/>
  <c r="P103" i="15"/>
  <c r="V103" i="15" s="1"/>
  <c r="P102" i="15"/>
  <c r="V102" i="15" s="1"/>
  <c r="P101" i="15"/>
  <c r="V101" i="15" s="1"/>
  <c r="P100" i="15"/>
  <c r="V100" i="15" s="1"/>
  <c r="P99" i="15"/>
  <c r="V99" i="15" s="1"/>
  <c r="P98" i="15"/>
  <c r="V98" i="15" s="1"/>
  <c r="P97" i="15"/>
  <c r="V97" i="15" s="1"/>
  <c r="P96" i="15"/>
  <c r="U96" i="15" s="1"/>
  <c r="P95" i="15"/>
  <c r="U95" i="15" s="1"/>
  <c r="P94" i="15"/>
  <c r="P93" i="15"/>
  <c r="P92" i="15"/>
  <c r="X92" i="15" s="1"/>
  <c r="P91" i="15"/>
  <c r="X91" i="15" s="1"/>
  <c r="P90" i="15"/>
  <c r="X90" i="15" s="1"/>
  <c r="P89" i="15"/>
  <c r="U89" i="15" s="1"/>
  <c r="P88" i="15"/>
  <c r="X88" i="15" s="1"/>
  <c r="P87" i="15"/>
  <c r="V87" i="15" s="1"/>
  <c r="P86" i="15"/>
  <c r="X86" i="15" s="1"/>
  <c r="P85" i="15"/>
  <c r="X85" i="15" s="1"/>
  <c r="P84" i="15"/>
  <c r="V84" i="15" s="1"/>
  <c r="P83" i="15"/>
  <c r="U83" i="15" s="1"/>
  <c r="P82" i="15"/>
  <c r="U82" i="15" s="1"/>
  <c r="P81" i="15"/>
  <c r="X81" i="15" s="1"/>
  <c r="P80" i="15"/>
  <c r="X80" i="15" s="1"/>
  <c r="P79" i="15"/>
  <c r="U79" i="15" s="1"/>
  <c r="P78" i="15"/>
  <c r="U78" i="15" s="1"/>
  <c r="P77" i="15"/>
  <c r="X77" i="15" s="1"/>
  <c r="P76" i="15"/>
  <c r="X76" i="15" s="1"/>
  <c r="P75" i="15"/>
  <c r="U75" i="15" s="1"/>
  <c r="P74" i="15"/>
  <c r="U74" i="15" s="1"/>
  <c r="P73" i="15"/>
  <c r="X73" i="15" s="1"/>
  <c r="P72" i="15"/>
  <c r="U72" i="15" s="1"/>
  <c r="P71" i="15"/>
  <c r="X71" i="15" s="1"/>
  <c r="P70" i="15"/>
  <c r="U70" i="15" s="1"/>
  <c r="P69" i="15"/>
  <c r="U69" i="15" s="1"/>
  <c r="P68" i="15"/>
  <c r="X68" i="15" s="1"/>
  <c r="P67" i="15"/>
  <c r="X67" i="15" s="1"/>
  <c r="P66" i="15"/>
  <c r="U66" i="15" s="1"/>
  <c r="P65" i="15"/>
  <c r="X65" i="15" s="1"/>
  <c r="P64" i="15"/>
  <c r="X64" i="15" s="1"/>
  <c r="P63" i="15"/>
  <c r="U63" i="15" s="1"/>
  <c r="P62" i="15"/>
  <c r="X62" i="15" s="1"/>
  <c r="P61" i="15"/>
  <c r="V61" i="15" s="1"/>
  <c r="P60" i="15"/>
  <c r="X60" i="15" s="1"/>
  <c r="P59" i="15"/>
  <c r="X59" i="15" s="1"/>
  <c r="P58" i="15"/>
  <c r="V58" i="15" s="1"/>
  <c r="P57" i="15"/>
  <c r="P56" i="15"/>
  <c r="P55" i="15"/>
  <c r="X55" i="15" s="1"/>
  <c r="P54" i="15"/>
  <c r="U54" i="15" s="1"/>
  <c r="P53" i="15"/>
  <c r="X53" i="15" s="1"/>
  <c r="P52" i="15"/>
  <c r="U52" i="15" s="1"/>
  <c r="P51" i="15"/>
  <c r="X51" i="15" s="1"/>
  <c r="P50" i="15"/>
  <c r="X50" i="15" s="1"/>
  <c r="P49" i="15"/>
  <c r="U49" i="15" s="1"/>
  <c r="P48" i="15"/>
  <c r="P47" i="15"/>
  <c r="P46" i="15"/>
  <c r="X46" i="15" s="1"/>
  <c r="P45" i="15"/>
  <c r="U45" i="15" s="1"/>
  <c r="P44" i="15"/>
  <c r="X44" i="15" s="1"/>
  <c r="P43" i="15"/>
  <c r="U43" i="15" s="1"/>
  <c r="P42" i="15"/>
  <c r="V42" i="15" s="1"/>
  <c r="P41" i="15"/>
  <c r="V41" i="15" s="1"/>
  <c r="P40" i="15"/>
  <c r="V40" i="15" s="1"/>
  <c r="P39" i="15"/>
  <c r="V39" i="15" s="1"/>
  <c r="P38" i="15"/>
  <c r="V38" i="15" s="1"/>
  <c r="P37" i="15"/>
  <c r="V37" i="15" s="1"/>
  <c r="P36" i="15"/>
  <c r="V36" i="15" s="1"/>
  <c r="P35" i="15"/>
  <c r="X35" i="15" s="1"/>
  <c r="P34" i="15"/>
  <c r="X34" i="15" s="1"/>
  <c r="P33" i="15"/>
  <c r="U33" i="15" s="1"/>
  <c r="P32" i="15"/>
  <c r="V32" i="15" s="1"/>
  <c r="P31" i="15"/>
  <c r="V31" i="15" s="1"/>
  <c r="P30" i="15"/>
  <c r="V30" i="15" s="1"/>
  <c r="P29" i="15"/>
  <c r="V29" i="15" s="1"/>
  <c r="P28" i="15"/>
  <c r="V28" i="15" s="1"/>
  <c r="P27" i="15"/>
  <c r="V27" i="15" s="1"/>
  <c r="P26" i="15"/>
  <c r="V26" i="15" s="1"/>
  <c r="P25" i="15"/>
  <c r="V25" i="15" s="1"/>
  <c r="P24" i="15"/>
  <c r="V24" i="15" s="1"/>
  <c r="P23" i="15"/>
  <c r="V23" i="15" s="1"/>
  <c r="P22" i="15"/>
  <c r="V22" i="15" s="1"/>
  <c r="P21" i="15"/>
  <c r="V21" i="15" s="1"/>
  <c r="P20" i="15"/>
  <c r="V20" i="15" s="1"/>
  <c r="P19" i="15"/>
  <c r="V19" i="15" s="1"/>
  <c r="P18" i="15"/>
  <c r="V18" i="15" s="1"/>
  <c r="P17" i="15"/>
  <c r="V17" i="15" s="1"/>
  <c r="P16" i="15"/>
  <c r="V16" i="15" s="1"/>
  <c r="P15" i="15"/>
  <c r="V15" i="15" s="1"/>
  <c r="P14" i="15"/>
  <c r="V14" i="15" s="1"/>
  <c r="P13" i="15"/>
  <c r="V13" i="15" s="1"/>
  <c r="P12" i="15"/>
  <c r="V12" i="15" s="1"/>
  <c r="P11" i="15"/>
  <c r="V11" i="15" s="1"/>
  <c r="P10" i="15"/>
  <c r="V10" i="15" s="1"/>
  <c r="V9" i="15"/>
  <c r="P9" i="15"/>
  <c r="P8" i="15"/>
  <c r="U8" i="15" s="1"/>
  <c r="P7" i="15"/>
  <c r="U7" i="15" s="1"/>
  <c r="P6" i="15"/>
  <c r="X6" i="15" s="1"/>
  <c r="P5" i="15"/>
  <c r="V5" i="15" s="1"/>
  <c r="E35" i="28" l="1"/>
  <c r="H39" i="28" s="1"/>
  <c r="K38" i="30" s="1"/>
  <c r="E35" i="30"/>
  <c r="H38" i="30" s="1"/>
  <c r="Z20" i="30"/>
  <c r="Y20" i="30"/>
  <c r="R22" i="30"/>
  <c r="S20" i="30"/>
  <c r="N42" i="30"/>
  <c r="V31" i="30"/>
  <c r="U22" i="28"/>
  <c r="S22" i="28" s="1"/>
  <c r="H40" i="28"/>
  <c r="K39" i="30" s="1"/>
  <c r="N39" i="30" s="1"/>
  <c r="E30" i="25"/>
  <c r="P29" i="25"/>
  <c r="X29" i="25" s="1"/>
  <c r="P28" i="25"/>
  <c r="U28" i="25" s="1"/>
  <c r="E27" i="25"/>
  <c r="U26" i="25"/>
  <c r="P26" i="25"/>
  <c r="E25" i="25"/>
  <c r="U24" i="25"/>
  <c r="P24" i="25"/>
  <c r="U23" i="25"/>
  <c r="P23" i="25"/>
  <c r="U22" i="25"/>
  <c r="P22" i="25"/>
  <c r="U21" i="25"/>
  <c r="P21" i="25"/>
  <c r="E20" i="25"/>
  <c r="U19" i="25"/>
  <c r="P19" i="25"/>
  <c r="U18" i="25"/>
  <c r="P18" i="25"/>
  <c r="U17" i="25"/>
  <c r="P17" i="25"/>
  <c r="U16" i="25"/>
  <c r="P16" i="25"/>
  <c r="E15" i="25"/>
  <c r="P14" i="25"/>
  <c r="U14" i="25" s="1"/>
  <c r="P13" i="25"/>
  <c r="U13" i="25" s="1"/>
  <c r="U12" i="25"/>
  <c r="P12" i="25"/>
  <c r="X12" i="25" s="1"/>
  <c r="U11" i="25"/>
  <c r="P11" i="25"/>
  <c r="X11" i="25" s="1"/>
  <c r="P10" i="25"/>
  <c r="X10" i="25" s="1"/>
  <c r="E9" i="25"/>
  <c r="P8" i="25"/>
  <c r="U8" i="25" s="1"/>
  <c r="U7" i="25"/>
  <c r="P7" i="25"/>
  <c r="U6" i="25"/>
  <c r="P6" i="25"/>
  <c r="P5" i="25"/>
  <c r="X5" i="25" s="1"/>
  <c r="U5" i="25" s="1"/>
  <c r="E7" i="24"/>
  <c r="E8" i="24" s="1"/>
  <c r="P6" i="24"/>
  <c r="X6" i="24" s="1"/>
  <c r="P5" i="24"/>
  <c r="X5" i="24" s="1"/>
  <c r="E58" i="23"/>
  <c r="P57" i="23"/>
  <c r="X57" i="23" s="1"/>
  <c r="P56" i="23"/>
  <c r="X56" i="23" s="1"/>
  <c r="P55" i="23"/>
  <c r="X55" i="23" s="1"/>
  <c r="E54" i="23"/>
  <c r="P53" i="23"/>
  <c r="X53" i="23" s="1"/>
  <c r="P52" i="23"/>
  <c r="X52" i="23" s="1"/>
  <c r="P51" i="23"/>
  <c r="X51" i="23" s="1"/>
  <c r="P50" i="23"/>
  <c r="X50" i="23" s="1"/>
  <c r="P49" i="23"/>
  <c r="X49" i="23" s="1"/>
  <c r="P48" i="23"/>
  <c r="X48" i="23" s="1"/>
  <c r="P47" i="23"/>
  <c r="X47" i="23" s="1"/>
  <c r="P46" i="23"/>
  <c r="X46" i="23" s="1"/>
  <c r="P45" i="23"/>
  <c r="X45" i="23" s="1"/>
  <c r="P44" i="23"/>
  <c r="X44" i="23" s="1"/>
  <c r="E43" i="23"/>
  <c r="P42" i="23"/>
  <c r="X42" i="23" s="1"/>
  <c r="P41" i="23"/>
  <c r="X41" i="23" s="1"/>
  <c r="P40" i="23"/>
  <c r="X40" i="23" s="1"/>
  <c r="P39" i="23"/>
  <c r="X39" i="23" s="1"/>
  <c r="P38" i="23"/>
  <c r="X38" i="23" s="1"/>
  <c r="P37" i="23"/>
  <c r="X37" i="23" s="1"/>
  <c r="P36" i="23"/>
  <c r="X36" i="23" s="1"/>
  <c r="P35" i="23"/>
  <c r="X35" i="23" s="1"/>
  <c r="P34" i="23"/>
  <c r="X34" i="23" s="1"/>
  <c r="P33" i="23"/>
  <c r="X33" i="23" s="1"/>
  <c r="E32" i="23"/>
  <c r="P31" i="23"/>
  <c r="X31" i="23" s="1"/>
  <c r="P30" i="23"/>
  <c r="X30" i="23" s="1"/>
  <c r="P29" i="23"/>
  <c r="X29" i="23" s="1"/>
  <c r="P28" i="23"/>
  <c r="X28" i="23" s="1"/>
  <c r="P27" i="23"/>
  <c r="X27" i="23" s="1"/>
  <c r="P26" i="23"/>
  <c r="X26" i="23" s="1"/>
  <c r="P25" i="23"/>
  <c r="X25" i="23" s="1"/>
  <c r="P24" i="23"/>
  <c r="X24" i="23" s="1"/>
  <c r="P23" i="23"/>
  <c r="X23" i="23" s="1"/>
  <c r="P22" i="23"/>
  <c r="X22" i="23" s="1"/>
  <c r="P21" i="23"/>
  <c r="X21" i="23" s="1"/>
  <c r="P20" i="23"/>
  <c r="X20" i="23" s="1"/>
  <c r="P19" i="23"/>
  <c r="X19" i="23" s="1"/>
  <c r="P18" i="23"/>
  <c r="X18" i="23" s="1"/>
  <c r="P17" i="23"/>
  <c r="X17" i="23" s="1"/>
  <c r="P16" i="23"/>
  <c r="X16" i="23" s="1"/>
  <c r="P15" i="23"/>
  <c r="X15" i="23" s="1"/>
  <c r="P14" i="23"/>
  <c r="X14" i="23" s="1"/>
  <c r="P13" i="23"/>
  <c r="X13" i="23" s="1"/>
  <c r="E12" i="23"/>
  <c r="P11" i="23"/>
  <c r="X11" i="23" s="1"/>
  <c r="P10" i="23"/>
  <c r="X10" i="23" s="1"/>
  <c r="P9" i="23"/>
  <c r="X9" i="23" s="1"/>
  <c r="P8" i="23"/>
  <c r="X8" i="23" s="1"/>
  <c r="P7" i="23"/>
  <c r="X7" i="23" s="1"/>
  <c r="P6" i="23"/>
  <c r="X6" i="23" s="1"/>
  <c r="P5" i="23"/>
  <c r="X5" i="23" s="1"/>
  <c r="E23" i="22"/>
  <c r="P22" i="22"/>
  <c r="U22" i="22" s="1"/>
  <c r="P21" i="22"/>
  <c r="U21" i="22" s="1"/>
  <c r="E20" i="22"/>
  <c r="P19" i="22"/>
  <c r="U19" i="22" s="1"/>
  <c r="E18" i="22"/>
  <c r="P17" i="22"/>
  <c r="U17" i="22" s="1"/>
  <c r="E16" i="22"/>
  <c r="P15" i="22"/>
  <c r="U15" i="22" s="1"/>
  <c r="P14" i="22"/>
  <c r="U14" i="22" s="1"/>
  <c r="E13" i="22"/>
  <c r="P12" i="22"/>
  <c r="U12" i="22" s="1"/>
  <c r="P11" i="22"/>
  <c r="U11" i="22" s="1"/>
  <c r="P10" i="22"/>
  <c r="U10" i="22" s="1"/>
  <c r="E9" i="22"/>
  <c r="P8" i="22"/>
  <c r="U8" i="22" s="1"/>
  <c r="P7" i="22"/>
  <c r="U7" i="22" s="1"/>
  <c r="P6" i="22"/>
  <c r="U6" i="22" s="1"/>
  <c r="P5" i="22"/>
  <c r="U5" i="22" s="1"/>
  <c r="E13" i="21"/>
  <c r="P12" i="21"/>
  <c r="X12" i="21" s="1"/>
  <c r="E11" i="21"/>
  <c r="P10" i="21"/>
  <c r="X10" i="21" s="1"/>
  <c r="P9" i="21"/>
  <c r="U9" i="21" s="1"/>
  <c r="P8" i="21"/>
  <c r="X8" i="21" s="1"/>
  <c r="P7" i="21"/>
  <c r="X7" i="21" s="1"/>
  <c r="P6" i="21"/>
  <c r="U6" i="21" s="1"/>
  <c r="P5" i="21"/>
  <c r="U5" i="21" s="1"/>
  <c r="E49" i="20"/>
  <c r="P48" i="20"/>
  <c r="X48" i="20" s="1"/>
  <c r="P47" i="20"/>
  <c r="U47" i="20" s="1"/>
  <c r="P46" i="20"/>
  <c r="X46" i="20" s="1"/>
  <c r="P45" i="20"/>
  <c r="U45" i="20" s="1"/>
  <c r="P44" i="20"/>
  <c r="X44" i="20" s="1"/>
  <c r="P43" i="20"/>
  <c r="U43" i="20" s="1"/>
  <c r="P42" i="20"/>
  <c r="X42" i="20" s="1"/>
  <c r="P41" i="20"/>
  <c r="U41" i="20" s="1"/>
  <c r="P40" i="20"/>
  <c r="X40" i="20" s="1"/>
  <c r="P39" i="20"/>
  <c r="U39" i="20" s="1"/>
  <c r="P38" i="20"/>
  <c r="X38" i="20" s="1"/>
  <c r="P37" i="20"/>
  <c r="U37" i="20" s="1"/>
  <c r="P36" i="20"/>
  <c r="X36" i="20" s="1"/>
  <c r="P35" i="20"/>
  <c r="U35" i="20" s="1"/>
  <c r="P34" i="20"/>
  <c r="X34" i="20" s="1"/>
  <c r="P33" i="20"/>
  <c r="U33" i="20" s="1"/>
  <c r="E32" i="20"/>
  <c r="P31" i="20"/>
  <c r="X31" i="20" s="1"/>
  <c r="P30" i="20"/>
  <c r="U30" i="20" s="1"/>
  <c r="P29" i="20"/>
  <c r="X29" i="20" s="1"/>
  <c r="P28" i="20"/>
  <c r="U28" i="20" s="1"/>
  <c r="P27" i="20"/>
  <c r="U27" i="20" s="1"/>
  <c r="P26" i="20"/>
  <c r="X26" i="20" s="1"/>
  <c r="P25" i="20"/>
  <c r="X25" i="20" s="1"/>
  <c r="P24" i="20"/>
  <c r="X24" i="20" s="1"/>
  <c r="P23" i="20"/>
  <c r="U23" i="20" s="1"/>
  <c r="P22" i="20"/>
  <c r="X22" i="20" s="1"/>
  <c r="P21" i="20"/>
  <c r="U21" i="20" s="1"/>
  <c r="P20" i="20"/>
  <c r="X20" i="20" s="1"/>
  <c r="P19" i="20"/>
  <c r="U19" i="20" s="1"/>
  <c r="P18" i="20"/>
  <c r="X18" i="20" s="1"/>
  <c r="P17" i="20"/>
  <c r="U17" i="20" s="1"/>
  <c r="P16" i="20"/>
  <c r="X16" i="20" s="1"/>
  <c r="P15" i="20"/>
  <c r="U15" i="20" s="1"/>
  <c r="P14" i="20"/>
  <c r="X14" i="20" s="1"/>
  <c r="P13" i="20"/>
  <c r="U13" i="20" s="1"/>
  <c r="P12" i="20"/>
  <c r="X12" i="20" s="1"/>
  <c r="P11" i="20"/>
  <c r="U11" i="20" s="1"/>
  <c r="P10" i="20"/>
  <c r="X10" i="20" s="1"/>
  <c r="P9" i="20"/>
  <c r="U9" i="20" s="1"/>
  <c r="P8" i="20"/>
  <c r="X8" i="20" s="1"/>
  <c r="P7" i="20"/>
  <c r="U7" i="20" s="1"/>
  <c r="P6" i="20"/>
  <c r="X6" i="20" s="1"/>
  <c r="P5" i="20"/>
  <c r="U5" i="20" s="1"/>
  <c r="E27" i="19"/>
  <c r="P26" i="19"/>
  <c r="W26" i="19" s="1"/>
  <c r="P25" i="19"/>
  <c r="W25" i="19" s="1"/>
  <c r="P24" i="19"/>
  <c r="W24" i="19" s="1"/>
  <c r="P23" i="19"/>
  <c r="W23" i="19" s="1"/>
  <c r="P22" i="19"/>
  <c r="W22" i="19" s="1"/>
  <c r="P21" i="19"/>
  <c r="W21" i="19" s="1"/>
  <c r="E20" i="19"/>
  <c r="P19" i="19"/>
  <c r="U19" i="19" s="1"/>
  <c r="E18" i="19"/>
  <c r="P17" i="19"/>
  <c r="U17" i="19" s="1"/>
  <c r="P16" i="19"/>
  <c r="U16" i="19" s="1"/>
  <c r="P15" i="19"/>
  <c r="U15" i="19" s="1"/>
  <c r="P14" i="19"/>
  <c r="U14" i="19" s="1"/>
  <c r="P13" i="19"/>
  <c r="U13" i="19" s="1"/>
  <c r="P12" i="19"/>
  <c r="U12" i="19" s="1"/>
  <c r="P11" i="19"/>
  <c r="U11" i="19" s="1"/>
  <c r="E10" i="19"/>
  <c r="P9" i="19"/>
  <c r="U9" i="19" s="1"/>
  <c r="P8" i="19"/>
  <c r="U8" i="19" s="1"/>
  <c r="P7" i="19"/>
  <c r="U7" i="19" s="1"/>
  <c r="P6" i="19"/>
  <c r="U6" i="19" s="1"/>
  <c r="P5" i="19"/>
  <c r="U5" i="19" s="1"/>
  <c r="E31" i="18"/>
  <c r="P30" i="18"/>
  <c r="U30" i="18" s="1"/>
  <c r="E29" i="18"/>
  <c r="P28" i="18"/>
  <c r="X28" i="18" s="1"/>
  <c r="E27" i="18"/>
  <c r="P26" i="18"/>
  <c r="V26" i="18" s="1"/>
  <c r="E25" i="18"/>
  <c r="P24" i="18"/>
  <c r="V24" i="18" s="1"/>
  <c r="E23" i="18"/>
  <c r="P22" i="18"/>
  <c r="V22" i="18" s="1"/>
  <c r="E21" i="18"/>
  <c r="U20" i="18"/>
  <c r="P20" i="18"/>
  <c r="E19" i="18"/>
  <c r="P18" i="18"/>
  <c r="U18" i="18" s="1"/>
  <c r="P17" i="18"/>
  <c r="V17" i="18" s="1"/>
  <c r="E16" i="18"/>
  <c r="P15" i="18"/>
  <c r="U15" i="18" s="1"/>
  <c r="P14" i="18"/>
  <c r="U14" i="18" s="1"/>
  <c r="P13" i="18"/>
  <c r="U13" i="18" s="1"/>
  <c r="P12" i="18"/>
  <c r="U12" i="18" s="1"/>
  <c r="P11" i="18"/>
  <c r="U11" i="18" s="1"/>
  <c r="P10" i="18"/>
  <c r="U10" i="18" s="1"/>
  <c r="P9" i="18"/>
  <c r="U9" i="18" s="1"/>
  <c r="P8" i="18"/>
  <c r="X8" i="18" s="1"/>
  <c r="P7" i="18"/>
  <c r="X7" i="18" s="1"/>
  <c r="P6" i="18"/>
  <c r="U6" i="18" s="1"/>
  <c r="P5" i="18"/>
  <c r="U5" i="18" s="1"/>
  <c r="E98" i="17"/>
  <c r="P97" i="17"/>
  <c r="U97" i="17" s="1"/>
  <c r="P96" i="17"/>
  <c r="U96" i="17" s="1"/>
  <c r="P95" i="17"/>
  <c r="U95" i="17" s="1"/>
  <c r="E94" i="17"/>
  <c r="P93" i="17"/>
  <c r="U93" i="17" s="1"/>
  <c r="P92" i="17"/>
  <c r="U92" i="17" s="1"/>
  <c r="P91" i="17"/>
  <c r="U91" i="17" s="1"/>
  <c r="P90" i="17"/>
  <c r="U90" i="17" s="1"/>
  <c r="P89" i="17"/>
  <c r="U89" i="17" s="1"/>
  <c r="E88" i="17"/>
  <c r="P87" i="17"/>
  <c r="U87" i="17" s="1"/>
  <c r="P86" i="17"/>
  <c r="U86" i="17" s="1"/>
  <c r="P85" i="17"/>
  <c r="U85" i="17" s="1"/>
  <c r="P84" i="17"/>
  <c r="U84" i="17" s="1"/>
  <c r="P83" i="17"/>
  <c r="U83" i="17" s="1"/>
  <c r="E82" i="17"/>
  <c r="P81" i="17"/>
  <c r="U81" i="17" s="1"/>
  <c r="P80" i="17"/>
  <c r="U80" i="17" s="1"/>
  <c r="P79" i="17"/>
  <c r="U79" i="17" s="1"/>
  <c r="P78" i="17"/>
  <c r="U78" i="17" s="1"/>
  <c r="P77" i="17"/>
  <c r="U77" i="17" s="1"/>
  <c r="P76" i="17"/>
  <c r="U76" i="17" s="1"/>
  <c r="P75" i="17"/>
  <c r="U75" i="17" s="1"/>
  <c r="P74" i="17"/>
  <c r="U74" i="17" s="1"/>
  <c r="E73" i="17"/>
  <c r="P72" i="17"/>
  <c r="U72" i="17" s="1"/>
  <c r="P71" i="17"/>
  <c r="U71" i="17" s="1"/>
  <c r="P70" i="17"/>
  <c r="U70" i="17" s="1"/>
  <c r="P69" i="17"/>
  <c r="U69" i="17" s="1"/>
  <c r="P68" i="17"/>
  <c r="U68" i="17" s="1"/>
  <c r="E67" i="17"/>
  <c r="P66" i="17"/>
  <c r="U66" i="17" s="1"/>
  <c r="P65" i="17"/>
  <c r="U65" i="17" s="1"/>
  <c r="P64" i="17"/>
  <c r="U64" i="17" s="1"/>
  <c r="P63" i="17"/>
  <c r="U63" i="17" s="1"/>
  <c r="P62" i="17"/>
  <c r="U62" i="17" s="1"/>
  <c r="E61" i="17"/>
  <c r="P60" i="17"/>
  <c r="P59" i="17"/>
  <c r="P58" i="17"/>
  <c r="P57" i="17"/>
  <c r="P56" i="17"/>
  <c r="U55" i="17"/>
  <c r="P55" i="17"/>
  <c r="X55" i="17" s="1"/>
  <c r="P54" i="17"/>
  <c r="X54" i="17" s="1"/>
  <c r="U53" i="17"/>
  <c r="P53" i="17"/>
  <c r="X53" i="17" s="1"/>
  <c r="U52" i="17"/>
  <c r="P52" i="17"/>
  <c r="X52" i="17" s="1"/>
  <c r="P51" i="17"/>
  <c r="U51" i="17" s="1"/>
  <c r="P50" i="17"/>
  <c r="U50" i="17" s="1"/>
  <c r="P49" i="17"/>
  <c r="U49" i="17" s="1"/>
  <c r="P48" i="17"/>
  <c r="U48" i="17" s="1"/>
  <c r="P47" i="17"/>
  <c r="U47" i="17" s="1"/>
  <c r="P46" i="17"/>
  <c r="U46" i="17" s="1"/>
  <c r="P45" i="17"/>
  <c r="U45" i="17" s="1"/>
  <c r="P44" i="17"/>
  <c r="U44" i="17" s="1"/>
  <c r="P43" i="17"/>
  <c r="U43" i="17" s="1"/>
  <c r="U42" i="17"/>
  <c r="P42" i="17"/>
  <c r="X42" i="17" s="1"/>
  <c r="U41" i="17"/>
  <c r="P41" i="17"/>
  <c r="X41" i="17" s="1"/>
  <c r="U40" i="17"/>
  <c r="P40" i="17"/>
  <c r="X40" i="17" s="1"/>
  <c r="P39" i="17"/>
  <c r="U39" i="17" s="1"/>
  <c r="P38" i="17"/>
  <c r="U38" i="17" s="1"/>
  <c r="P37" i="17"/>
  <c r="U37" i="17" s="1"/>
  <c r="E36" i="17"/>
  <c r="P35" i="17"/>
  <c r="U35" i="17" s="1"/>
  <c r="P34" i="17"/>
  <c r="U34" i="17" s="1"/>
  <c r="P33" i="17"/>
  <c r="U33" i="17" s="1"/>
  <c r="Y32" i="17"/>
  <c r="P32" i="17"/>
  <c r="X29" i="17"/>
  <c r="P29" i="17"/>
  <c r="X28" i="17"/>
  <c r="P28" i="17"/>
  <c r="X27" i="17"/>
  <c r="P27" i="17"/>
  <c r="P26" i="17"/>
  <c r="U26" i="17" s="1"/>
  <c r="P25" i="17"/>
  <c r="U25" i="17" s="1"/>
  <c r="P24" i="17"/>
  <c r="X24" i="17" s="1"/>
  <c r="U24" i="17" s="1"/>
  <c r="P23" i="17"/>
  <c r="P22" i="17"/>
  <c r="X22" i="17" s="1"/>
  <c r="U22" i="17" s="1"/>
  <c r="X21" i="17"/>
  <c r="P21" i="17"/>
  <c r="X20" i="17"/>
  <c r="P20" i="17"/>
  <c r="X19" i="17"/>
  <c r="P19" i="17"/>
  <c r="X18" i="17"/>
  <c r="P18" i="17"/>
  <c r="E17" i="17"/>
  <c r="P16" i="17"/>
  <c r="U16" i="17" s="1"/>
  <c r="U15" i="17"/>
  <c r="P15" i="17"/>
  <c r="X14" i="17"/>
  <c r="P14" i="17"/>
  <c r="X13" i="17"/>
  <c r="P13" i="17"/>
  <c r="X12" i="17"/>
  <c r="P12" i="17"/>
  <c r="U11" i="17"/>
  <c r="P11" i="17"/>
  <c r="X10" i="17"/>
  <c r="P10" i="17"/>
  <c r="P9" i="17"/>
  <c r="X9" i="17" s="1"/>
  <c r="X8" i="17"/>
  <c r="P8" i="17"/>
  <c r="X7" i="17"/>
  <c r="P7" i="17"/>
  <c r="X6" i="17"/>
  <c r="P6" i="17"/>
  <c r="U5" i="17"/>
  <c r="P5" i="17"/>
  <c r="X22" i="30" l="1"/>
  <c r="W18" i="25"/>
  <c r="E50" i="20"/>
  <c r="E55" i="20" s="1"/>
  <c r="I27" i="30" s="1"/>
  <c r="R27" i="30" s="1"/>
  <c r="V20" i="30"/>
  <c r="S22" i="30"/>
  <c r="R31" i="28"/>
  <c r="U31" i="30"/>
  <c r="N38" i="30"/>
  <c r="W24" i="25"/>
  <c r="W26" i="25"/>
  <c r="W22" i="25"/>
  <c r="W17" i="25"/>
  <c r="U8" i="17"/>
  <c r="U27" i="17"/>
  <c r="U29" i="17"/>
  <c r="W7" i="25"/>
  <c r="W19" i="25"/>
  <c r="W23" i="25"/>
  <c r="U19" i="17"/>
  <c r="U18" i="17"/>
  <c r="I27" i="28"/>
  <c r="K27" i="28" s="1"/>
  <c r="U21" i="17"/>
  <c r="W21" i="25"/>
  <c r="W16" i="25"/>
  <c r="E59" i="23"/>
  <c r="E24" i="22"/>
  <c r="E14" i="21"/>
  <c r="E28" i="19"/>
  <c r="E31" i="25"/>
  <c r="W6" i="25"/>
  <c r="E32" i="18"/>
  <c r="E99" i="17"/>
  <c r="U7" i="17"/>
  <c r="U10" i="17"/>
  <c r="U12" i="17"/>
  <c r="U14" i="17"/>
  <c r="U20" i="17"/>
  <c r="U28" i="17"/>
  <c r="U6" i="17"/>
  <c r="U13" i="17"/>
  <c r="E135" i="15"/>
  <c r="U20" i="30" s="1"/>
  <c r="E32" i="14"/>
  <c r="E51" i="13"/>
  <c r="E209" i="12"/>
  <c r="E7" i="11"/>
  <c r="E97" i="10"/>
  <c r="E91" i="9"/>
  <c r="E36" i="8"/>
  <c r="E57" i="20" l="1"/>
  <c r="V22" i="30"/>
  <c r="I33" i="30"/>
  <c r="I35" i="30" s="1"/>
  <c r="R12" i="28"/>
  <c r="U12" i="30"/>
  <c r="R17" i="28"/>
  <c r="U17" i="30"/>
  <c r="R13" i="28"/>
  <c r="U13" i="30"/>
  <c r="R32" i="28"/>
  <c r="U32" i="30"/>
  <c r="R30" i="28"/>
  <c r="U30" i="30"/>
  <c r="K27" i="30"/>
  <c r="K33" i="30" s="1"/>
  <c r="K35" i="30" s="1"/>
  <c r="H40" i="30" s="1"/>
  <c r="H43" i="30" s="1"/>
  <c r="R16" i="28"/>
  <c r="U16" i="30"/>
  <c r="R14" i="28"/>
  <c r="U14" i="30"/>
  <c r="R18" i="28"/>
  <c r="U18" i="30"/>
  <c r="R24" i="28"/>
  <c r="U24" i="30"/>
  <c r="R26" i="28"/>
  <c r="U26" i="30"/>
  <c r="R15" i="28"/>
  <c r="U15" i="30"/>
  <c r="R19" i="28"/>
  <c r="U19" i="30"/>
  <c r="R25" i="28"/>
  <c r="U25" i="30"/>
  <c r="R28" i="28"/>
  <c r="U28" i="30"/>
  <c r="R29" i="28"/>
  <c r="U29" i="30"/>
  <c r="U27" i="30"/>
  <c r="Y27" i="30"/>
  <c r="Z27" i="30"/>
  <c r="Z35" i="30" s="1"/>
  <c r="R33" i="30"/>
  <c r="R35" i="30" s="1"/>
  <c r="E142" i="15"/>
  <c r="R20" i="28"/>
  <c r="I33" i="28"/>
  <c r="I35" i="28" s="1"/>
  <c r="K33" i="28"/>
  <c r="K35" i="28" s="1"/>
  <c r="H41" i="28" s="1"/>
  <c r="K40" i="30" s="1"/>
  <c r="O27" i="28"/>
  <c r="V27" i="28" s="1"/>
  <c r="E122" i="7"/>
  <c r="P121" i="7"/>
  <c r="X121" i="7" s="1"/>
  <c r="U120" i="7"/>
  <c r="P120" i="7"/>
  <c r="U119" i="7"/>
  <c r="P119" i="7"/>
  <c r="P118" i="7"/>
  <c r="U118" i="7" s="1"/>
  <c r="P117" i="7"/>
  <c r="U117" i="7" s="1"/>
  <c r="P116" i="7"/>
  <c r="X116" i="7" s="1"/>
  <c r="P115" i="7"/>
  <c r="P114" i="7"/>
  <c r="X114" i="7" s="1"/>
  <c r="P113" i="7"/>
  <c r="U113" i="7" s="1"/>
  <c r="P112" i="7"/>
  <c r="V112" i="7" s="1"/>
  <c r="P111" i="7"/>
  <c r="X111" i="7" s="1"/>
  <c r="P110" i="7"/>
  <c r="U110" i="7" s="1"/>
  <c r="P109" i="7"/>
  <c r="X109" i="7" s="1"/>
  <c r="P108" i="7"/>
  <c r="U108" i="7" s="1"/>
  <c r="P107" i="7"/>
  <c r="U107" i="7" s="1"/>
  <c r="P106" i="7"/>
  <c r="U106" i="7" s="1"/>
  <c r="P105" i="7"/>
  <c r="X105" i="7" s="1"/>
  <c r="P104" i="7"/>
  <c r="U104" i="7" s="1"/>
  <c r="P103" i="7"/>
  <c r="X103" i="7" s="1"/>
  <c r="P102" i="7"/>
  <c r="U102" i="7" s="1"/>
  <c r="P101" i="7"/>
  <c r="U101" i="7" s="1"/>
  <c r="P100" i="7"/>
  <c r="U100" i="7" s="1"/>
  <c r="P99" i="7"/>
  <c r="U99" i="7" s="1"/>
  <c r="P98" i="7"/>
  <c r="U98" i="7" s="1"/>
  <c r="P97" i="7"/>
  <c r="U97" i="7" s="1"/>
  <c r="P96" i="7"/>
  <c r="U96" i="7" s="1"/>
  <c r="P95" i="7"/>
  <c r="U95" i="7" s="1"/>
  <c r="P94" i="7"/>
  <c r="U94" i="7" s="1"/>
  <c r="P93" i="7"/>
  <c r="X93" i="7" s="1"/>
  <c r="P92" i="7"/>
  <c r="V92" i="7" s="1"/>
  <c r="P91" i="7"/>
  <c r="U91" i="7" s="1"/>
  <c r="P90" i="7"/>
  <c r="U90" i="7" s="1"/>
  <c r="P89" i="7"/>
  <c r="X89" i="7" s="1"/>
  <c r="P88" i="7"/>
  <c r="U88" i="7" s="1"/>
  <c r="P87" i="7"/>
  <c r="U87" i="7" s="1"/>
  <c r="P86" i="7"/>
  <c r="U86" i="7" s="1"/>
  <c r="P85" i="7"/>
  <c r="V85" i="7" s="1"/>
  <c r="P84" i="7"/>
  <c r="U84" i="7" s="1"/>
  <c r="P83" i="7"/>
  <c r="U83" i="7" s="1"/>
  <c r="P82" i="7"/>
  <c r="U82" i="7" s="1"/>
  <c r="P81" i="7"/>
  <c r="U81" i="7" s="1"/>
  <c r="P80" i="7"/>
  <c r="U80" i="7" s="1"/>
  <c r="P79" i="7"/>
  <c r="U79" i="7" s="1"/>
  <c r="P78" i="7"/>
  <c r="U78" i="7" s="1"/>
  <c r="P77" i="7"/>
  <c r="U77" i="7" s="1"/>
  <c r="P76" i="7"/>
  <c r="X76" i="7" s="1"/>
  <c r="P75" i="7"/>
  <c r="X75" i="7" s="1"/>
  <c r="P74" i="7"/>
  <c r="U74" i="7" s="1"/>
  <c r="P73" i="7"/>
  <c r="U73" i="7" s="1"/>
  <c r="P72" i="7"/>
  <c r="U72" i="7" s="1"/>
  <c r="P71" i="7"/>
  <c r="U71" i="7" s="1"/>
  <c r="P70" i="7"/>
  <c r="U70" i="7" s="1"/>
  <c r="P69" i="7"/>
  <c r="U69" i="7" s="1"/>
  <c r="P68" i="7"/>
  <c r="X68" i="7" s="1"/>
  <c r="P67" i="7"/>
  <c r="U67" i="7" s="1"/>
  <c r="P66" i="7"/>
  <c r="V66" i="7" s="1"/>
  <c r="P65" i="7"/>
  <c r="V65" i="7" s="1"/>
  <c r="P64" i="7"/>
  <c r="V64" i="7" s="1"/>
  <c r="P63" i="7"/>
  <c r="U63" i="7" s="1"/>
  <c r="P62" i="7"/>
  <c r="U62" i="7" s="1"/>
  <c r="P61" i="7"/>
  <c r="U61" i="7" s="1"/>
  <c r="P60" i="7"/>
  <c r="U60" i="7" s="1"/>
  <c r="P59" i="7"/>
  <c r="P58" i="7"/>
  <c r="P57" i="7"/>
  <c r="U57" i="7" s="1"/>
  <c r="P56" i="7"/>
  <c r="X56" i="7" s="1"/>
  <c r="P55" i="7"/>
  <c r="X55" i="7" s="1"/>
  <c r="P54" i="7"/>
  <c r="X54" i="7" s="1"/>
  <c r="P53" i="7"/>
  <c r="X53" i="7" s="1"/>
  <c r="P52" i="7"/>
  <c r="X52" i="7" s="1"/>
  <c r="P51" i="7"/>
  <c r="X51" i="7" s="1"/>
  <c r="P50" i="7"/>
  <c r="X50" i="7" s="1"/>
  <c r="P49" i="7"/>
  <c r="X49" i="7" s="1"/>
  <c r="P48" i="7"/>
  <c r="X48" i="7" s="1"/>
  <c r="P47" i="7"/>
  <c r="U47" i="7" s="1"/>
  <c r="P46" i="7"/>
  <c r="V46" i="7" s="1"/>
  <c r="P45" i="7"/>
  <c r="X45" i="7" s="1"/>
  <c r="P44" i="7"/>
  <c r="X44" i="7" s="1"/>
  <c r="P43" i="7"/>
  <c r="X43" i="7" s="1"/>
  <c r="P42" i="7"/>
  <c r="V42" i="7" s="1"/>
  <c r="P41" i="7"/>
  <c r="V41" i="7" s="1"/>
  <c r="P40" i="7"/>
  <c r="V40" i="7" s="1"/>
  <c r="P39" i="7"/>
  <c r="V39" i="7" s="1"/>
  <c r="P38" i="7"/>
  <c r="V38" i="7" s="1"/>
  <c r="P37" i="7"/>
  <c r="X37" i="7" s="1"/>
  <c r="P36" i="7"/>
  <c r="X36" i="7" s="1"/>
  <c r="P35" i="7"/>
  <c r="X35" i="7" s="1"/>
  <c r="P34" i="7"/>
  <c r="V34" i="7" s="1"/>
  <c r="P33" i="7"/>
  <c r="V33" i="7" s="1"/>
  <c r="P32" i="7"/>
  <c r="V32" i="7" s="1"/>
  <c r="P31" i="7"/>
  <c r="P30" i="7"/>
  <c r="U30" i="7" s="1"/>
  <c r="P29" i="7"/>
  <c r="P28" i="7"/>
  <c r="U28" i="7" s="1"/>
  <c r="P27" i="7"/>
  <c r="X27" i="7" s="1"/>
  <c r="P26" i="7"/>
  <c r="U26" i="7" s="1"/>
  <c r="P25" i="7"/>
  <c r="X25" i="7" s="1"/>
  <c r="P24" i="7"/>
  <c r="U24" i="7" s="1"/>
  <c r="P23" i="7"/>
  <c r="X23" i="7" s="1"/>
  <c r="P22" i="7"/>
  <c r="X22" i="7" s="1"/>
  <c r="P21" i="7"/>
  <c r="X21" i="7" s="1"/>
  <c r="P20" i="7"/>
  <c r="X20" i="7" s="1"/>
  <c r="P19" i="7"/>
  <c r="X19" i="7" s="1"/>
  <c r="P18" i="7"/>
  <c r="X18" i="7" s="1"/>
  <c r="P17" i="7"/>
  <c r="U17" i="7" s="1"/>
  <c r="P16" i="7"/>
  <c r="U16" i="7" s="1"/>
  <c r="P15" i="7"/>
  <c r="U15" i="7" s="1"/>
  <c r="P14" i="7"/>
  <c r="U14" i="7" s="1"/>
  <c r="P13" i="7"/>
  <c r="V13" i="7" s="1"/>
  <c r="P12" i="7"/>
  <c r="U12" i="7" s="1"/>
  <c r="P11" i="7"/>
  <c r="X11" i="7" s="1"/>
  <c r="P10" i="7"/>
  <c r="X10" i="7" s="1"/>
  <c r="P9" i="7"/>
  <c r="X9" i="7" s="1"/>
  <c r="P8" i="7"/>
  <c r="U8" i="7" s="1"/>
  <c r="P7" i="7"/>
  <c r="U7" i="7" s="1"/>
  <c r="P6" i="7"/>
  <c r="U6" i="7" s="1"/>
  <c r="P5" i="7"/>
  <c r="U5" i="7" s="1"/>
  <c r="E86" i="6"/>
  <c r="W119" i="7" l="1"/>
  <c r="S27" i="30"/>
  <c r="V27" i="30" s="1"/>
  <c r="R10" i="28"/>
  <c r="U10" i="30"/>
  <c r="R9" i="28"/>
  <c r="U9" i="30"/>
  <c r="AA35" i="30"/>
  <c r="AC37" i="30" s="1"/>
  <c r="AC38" i="30" s="1"/>
  <c r="X33" i="30"/>
  <c r="X35" i="30"/>
  <c r="N40" i="30"/>
  <c r="K43" i="30"/>
  <c r="N43" i="30" s="1"/>
  <c r="W120" i="7"/>
  <c r="O33" i="28"/>
  <c r="W27" i="28"/>
  <c r="W35" i="28" s="1"/>
  <c r="R27" i="28"/>
  <c r="P27" i="28"/>
  <c r="S27" i="28" s="1"/>
  <c r="E23" i="5"/>
  <c r="P22" i="5"/>
  <c r="U22" i="5" s="1"/>
  <c r="P21" i="5"/>
  <c r="X21" i="5" s="1"/>
  <c r="P20" i="5"/>
  <c r="U20" i="5" s="1"/>
  <c r="P19" i="5"/>
  <c r="X19" i="5" s="1"/>
  <c r="P18" i="5"/>
  <c r="U18" i="5" s="1"/>
  <c r="P17" i="5"/>
  <c r="X17" i="5" s="1"/>
  <c r="P16" i="5"/>
  <c r="U16" i="5" s="1"/>
  <c r="P15" i="5"/>
  <c r="X15" i="5" s="1"/>
  <c r="P14" i="5"/>
  <c r="U14" i="5" s="1"/>
  <c r="P13" i="5"/>
  <c r="U13" i="5" s="1"/>
  <c r="P12" i="5"/>
  <c r="X12" i="5" s="1"/>
  <c r="P11" i="5"/>
  <c r="X11" i="5" s="1"/>
  <c r="P10" i="5"/>
  <c r="X10" i="5" s="1"/>
  <c r="P9" i="5"/>
  <c r="U9" i="5" s="1"/>
  <c r="P8" i="5"/>
  <c r="X8" i="5" s="1"/>
  <c r="P7" i="5"/>
  <c r="X7" i="5" s="1"/>
  <c r="P6" i="5"/>
  <c r="U6" i="5" s="1"/>
  <c r="P5" i="5"/>
  <c r="X5" i="5" s="1"/>
  <c r="E23" i="2"/>
  <c r="U22" i="2"/>
  <c r="P22" i="2"/>
  <c r="X22" i="2" s="1"/>
  <c r="X21" i="2"/>
  <c r="P21" i="2"/>
  <c r="X20" i="2"/>
  <c r="P20" i="2"/>
  <c r="P19" i="2"/>
  <c r="U19" i="2" s="1"/>
  <c r="P18" i="2"/>
  <c r="U18" i="2" s="1"/>
  <c r="P17" i="2"/>
  <c r="U17" i="2" s="1"/>
  <c r="X16" i="2"/>
  <c r="P16" i="2"/>
  <c r="P15" i="2"/>
  <c r="X15" i="2" s="1"/>
  <c r="P14" i="2"/>
  <c r="X14" i="2" s="1"/>
  <c r="P13" i="2"/>
  <c r="U13" i="2" s="1"/>
  <c r="P12" i="2"/>
  <c r="X12" i="2" s="1"/>
  <c r="P11" i="2"/>
  <c r="P10" i="2"/>
  <c r="U10" i="2" s="1"/>
  <c r="P9" i="2"/>
  <c r="X9" i="2" s="1"/>
  <c r="P8" i="2"/>
  <c r="X8" i="2" s="1"/>
  <c r="P7" i="2"/>
  <c r="X7" i="2" s="1"/>
  <c r="P6" i="2"/>
  <c r="X6" i="2" s="1"/>
  <c r="P5" i="2"/>
  <c r="X5" i="2" s="1"/>
  <c r="S33" i="30" l="1"/>
  <c r="V33" i="30" s="1"/>
  <c r="R8" i="28"/>
  <c r="U8" i="30"/>
  <c r="R7" i="28"/>
  <c r="U7" i="30"/>
  <c r="O35" i="28"/>
  <c r="U35" i="28" s="1"/>
  <c r="U33" i="28"/>
  <c r="P33" i="28"/>
  <c r="U20" i="2"/>
  <c r="U16" i="2"/>
  <c r="U21" i="2"/>
  <c r="S35" i="30" l="1"/>
  <c r="S38" i="30" s="1"/>
  <c r="S42" i="30" s="1"/>
  <c r="X35" i="28"/>
  <c r="Z38" i="28" s="1"/>
  <c r="Z39" i="28" s="1"/>
  <c r="P35" i="28"/>
  <c r="S33" i="28"/>
  <c r="V35" i="30" l="1"/>
  <c r="S35" i="28"/>
  <c r="P38" i="28"/>
  <c r="P42" i="28" s="1"/>
  <c r="P39" i="28" l="1"/>
  <c r="P43" i="28" s="1"/>
</calcChain>
</file>

<file path=xl/comments1.xml><?xml version="1.0" encoding="utf-8"?>
<comments xmlns="http://schemas.openxmlformats.org/spreadsheetml/2006/main">
  <authors>
    <author>User</author>
  </authors>
  <commentList>
    <comment ref="X20" authorId="0">
      <text>
        <r>
          <rPr>
            <b/>
            <sz val="9"/>
            <color indexed="81"/>
            <rFont val="Tahoma"/>
            <family val="2"/>
            <charset val="238"/>
          </rPr>
          <t>rm. Acél falburkolat</t>
        </r>
      </text>
    </comment>
    <comment ref="X29" authorId="0">
      <text>
        <r>
          <rPr>
            <b/>
            <sz val="9"/>
            <color indexed="81"/>
            <rFont val="Tahoma"/>
            <family val="2"/>
            <charset val="238"/>
          </rPr>
          <t>rm. Acél falburkolat</t>
        </r>
      </text>
    </comment>
  </commentList>
</comments>
</file>

<file path=xl/comments2.xml><?xml version="1.0" encoding="utf-8"?>
<comments xmlns="http://schemas.openxmlformats.org/spreadsheetml/2006/main">
  <authors>
    <author>ratkays</author>
  </authors>
  <commentList>
    <comment ref="X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FarkasA:
Pengefal csempézett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<sst xmlns="http://schemas.openxmlformats.org/spreadsheetml/2006/main" count="17351" uniqueCount="2102">
  <si>
    <t>F</t>
  </si>
  <si>
    <t>A2-A4</t>
  </si>
  <si>
    <t>R-0-21/a</t>
  </si>
  <si>
    <t>Előtér</t>
  </si>
  <si>
    <t>m2</t>
  </si>
  <si>
    <t>A1</t>
  </si>
  <si>
    <t>gress</t>
  </si>
  <si>
    <t>festett</t>
  </si>
  <si>
    <t>R-0-11/b</t>
  </si>
  <si>
    <t>Vetkőző</t>
  </si>
  <si>
    <t>gumi</t>
  </si>
  <si>
    <t>R-0-05</t>
  </si>
  <si>
    <t>Váró</t>
  </si>
  <si>
    <t>R-0-08/a</t>
  </si>
  <si>
    <t>Takszer.</t>
  </si>
  <si>
    <t>R-0-11/a</t>
  </si>
  <si>
    <t>R-0-11</t>
  </si>
  <si>
    <t>Ambulancia</t>
  </si>
  <si>
    <t>R-0-09</t>
  </si>
  <si>
    <t>Tel + Szünetmentes</t>
  </si>
  <si>
    <t>R-0-12/b</t>
  </si>
  <si>
    <t>R-0-12/a</t>
  </si>
  <si>
    <t>R-0-12</t>
  </si>
  <si>
    <t>R-0-13/b</t>
  </si>
  <si>
    <t>R-0-13/a</t>
  </si>
  <si>
    <t>R-0-13</t>
  </si>
  <si>
    <t>R-0-14</t>
  </si>
  <si>
    <t>R-0-14/a</t>
  </si>
  <si>
    <t>R-0-05/a</t>
  </si>
  <si>
    <t>R-0-17/a</t>
  </si>
  <si>
    <t>R-0-17</t>
  </si>
  <si>
    <t>R-0-15</t>
  </si>
  <si>
    <t>Nővér</t>
  </si>
  <si>
    <t>R-0-16</t>
  </si>
  <si>
    <t>Ultrahang</t>
  </si>
  <si>
    <t>R-0-18</t>
  </si>
  <si>
    <t>R-0-19</t>
  </si>
  <si>
    <t>A2</t>
  </si>
  <si>
    <t>F. 29</t>
  </si>
  <si>
    <t>Női WC</t>
  </si>
  <si>
    <t>járólap</t>
  </si>
  <si>
    <t>F. 32.1</t>
  </si>
  <si>
    <t>F. 32.2</t>
  </si>
  <si>
    <t>F. 32.3</t>
  </si>
  <si>
    <t>F. 32.4</t>
  </si>
  <si>
    <t>F. 32.5</t>
  </si>
  <si>
    <t>Női mosdó</t>
  </si>
  <si>
    <t>F. 32.6</t>
  </si>
  <si>
    <t>Férfi WC piszoir</t>
  </si>
  <si>
    <t>F. 32.7</t>
  </si>
  <si>
    <t xml:space="preserve">Férfi WC </t>
  </si>
  <si>
    <t>F. 32.8</t>
  </si>
  <si>
    <t>Férfi mosdó</t>
  </si>
  <si>
    <t>F. 32.9</t>
  </si>
  <si>
    <t>F. 35</t>
  </si>
  <si>
    <t>Közlekedő</t>
  </si>
  <si>
    <t>F. 36</t>
  </si>
  <si>
    <t>Öltöző előtér</t>
  </si>
  <si>
    <t>F. 36. 1</t>
  </si>
  <si>
    <t xml:space="preserve">Öltöző </t>
  </si>
  <si>
    <t>F. 36. 2</t>
  </si>
  <si>
    <t>F. 36. 3</t>
  </si>
  <si>
    <t>Zuhanyzó</t>
  </si>
  <si>
    <t>F. 36. 4</t>
  </si>
  <si>
    <t>F. 36. 5</t>
  </si>
  <si>
    <t>WC</t>
  </si>
  <si>
    <t>linóleum</t>
  </si>
  <si>
    <t>F. 39</t>
  </si>
  <si>
    <t>Nővér öltöző</t>
  </si>
  <si>
    <t>F. 39.1</t>
  </si>
  <si>
    <t>WC. Előtér</t>
  </si>
  <si>
    <t>F. 39.2</t>
  </si>
  <si>
    <t>F. 39.3</t>
  </si>
  <si>
    <t>F. 39.4</t>
  </si>
  <si>
    <t>A3</t>
  </si>
  <si>
    <t>Szennyes ledobó</t>
  </si>
  <si>
    <t>R-0-04</t>
  </si>
  <si>
    <t>B</t>
  </si>
  <si>
    <t>teljes körű nagy takarítás havi 1x</t>
  </si>
  <si>
    <t>Gépészet</t>
  </si>
  <si>
    <t>Raktár</t>
  </si>
  <si>
    <t>gress (cs)</t>
  </si>
  <si>
    <t>F.22</t>
  </si>
  <si>
    <t>Lift előtér</t>
  </si>
  <si>
    <t>üveg</t>
  </si>
  <si>
    <t>Tároló</t>
  </si>
  <si>
    <t>F. 22.2</t>
  </si>
  <si>
    <t>Lépcsőház</t>
  </si>
  <si>
    <t>F. 23</t>
  </si>
  <si>
    <t xml:space="preserve">Betegfelvételi folyosó </t>
  </si>
  <si>
    <t>F. 24</t>
  </si>
  <si>
    <t>Kórlap tároló</t>
  </si>
  <si>
    <t>F. 25</t>
  </si>
  <si>
    <t>Betegfelvételi iroda</t>
  </si>
  <si>
    <t>F. 25.1</t>
  </si>
  <si>
    <t>Konyha</t>
  </si>
  <si>
    <t>F. 26</t>
  </si>
  <si>
    <t>Betegfelvételi váró</t>
  </si>
  <si>
    <t>Műtős tartózkodó</t>
  </si>
  <si>
    <t>Személyzeti öltöző</t>
  </si>
  <si>
    <t>Orvosi szoba</t>
  </si>
  <si>
    <t>Fürdő</t>
  </si>
  <si>
    <t>F. 18</t>
  </si>
  <si>
    <t>beton</t>
  </si>
  <si>
    <t>F. 20.</t>
  </si>
  <si>
    <t>Nővér öltöző előtér</t>
  </si>
  <si>
    <t>F. 20.1.</t>
  </si>
  <si>
    <t>Nővér öltöző beugró</t>
  </si>
  <si>
    <t>F. 20.2</t>
  </si>
  <si>
    <t>F. 20.3</t>
  </si>
  <si>
    <t>F. 20.4</t>
  </si>
  <si>
    <t>F. 21</t>
  </si>
  <si>
    <t>Higiénés kategóriák</t>
  </si>
  <si>
    <t>Dedikált takarítói igény</t>
  </si>
  <si>
    <t>Ügyeletes takarítói igény</t>
  </si>
  <si>
    <t>Megjegyzés (egyedi kérések, takarítás időpontja, stb…)</t>
  </si>
  <si>
    <t>Ajtó</t>
  </si>
  <si>
    <t>Ajtó felület (m2)</t>
  </si>
  <si>
    <t>Ablak (belső felület) m2</t>
  </si>
  <si>
    <t>Szúnyogháló</t>
  </si>
  <si>
    <t>Kerület
(m)</t>
  </si>
  <si>
    <t>Belmagasság
(m)</t>
  </si>
  <si>
    <t>Belső falfelület m2</t>
  </si>
  <si>
    <t>Belső
üvegfelületek
(m2)</t>
  </si>
  <si>
    <t>SBO</t>
  </si>
  <si>
    <t>Egyéb</t>
  </si>
  <si>
    <t>Női Klinika</t>
  </si>
  <si>
    <t xml:space="preserve">Festett </t>
  </si>
  <si>
    <t>Burkolt</t>
  </si>
  <si>
    <t>szint</t>
  </si>
  <si>
    <t>szárny</t>
  </si>
  <si>
    <t>szobaszám</t>
  </si>
  <si>
    <t>megnevezés</t>
  </si>
  <si>
    <t>alapterület</t>
  </si>
  <si>
    <t>Normál</t>
  </si>
  <si>
    <t>Steril</t>
  </si>
  <si>
    <t>Tapéta</t>
  </si>
  <si>
    <t>Csempe</t>
  </si>
  <si>
    <t>Hulladék</t>
  </si>
  <si>
    <t>I.</t>
  </si>
  <si>
    <t>Öltöző</t>
  </si>
  <si>
    <t>1.23</t>
  </si>
  <si>
    <t>WC előtér</t>
  </si>
  <si>
    <t>1.23.1</t>
  </si>
  <si>
    <t>1.23.2</t>
  </si>
  <si>
    <t>Labor</t>
  </si>
  <si>
    <t>1.2</t>
  </si>
  <si>
    <t>Várandósok folyosója</t>
  </si>
  <si>
    <t>Zsilip</t>
  </si>
  <si>
    <t>Ágytálmosó</t>
  </si>
  <si>
    <t>Nővérszoba</t>
  </si>
  <si>
    <t>Teakonyha</t>
  </si>
  <si>
    <t>Személyzeti tartózkodó</t>
  </si>
  <si>
    <t>Személyzeti WC</t>
  </si>
  <si>
    <t>Előkészítő</t>
  </si>
  <si>
    <t>1.20</t>
  </si>
  <si>
    <t>1.20.1</t>
  </si>
  <si>
    <t>mészkő-pvc</t>
  </si>
  <si>
    <t>1.21</t>
  </si>
  <si>
    <t>1.28</t>
  </si>
  <si>
    <t>II.</t>
  </si>
  <si>
    <t>2.1</t>
  </si>
  <si>
    <t>Kezelő</t>
  </si>
  <si>
    <t>2.2</t>
  </si>
  <si>
    <t>Gyógyszertár</t>
  </si>
  <si>
    <t>2.3</t>
  </si>
  <si>
    <t>Kórterem 1.</t>
  </si>
  <si>
    <t>2.4</t>
  </si>
  <si>
    <t>Kórterem 2.</t>
  </si>
  <si>
    <t>2.5</t>
  </si>
  <si>
    <t>Kórterem 3.</t>
  </si>
  <si>
    <t>2.6</t>
  </si>
  <si>
    <t>Kórterem 4.</t>
  </si>
  <si>
    <t>2.7</t>
  </si>
  <si>
    <t>Kórterem 5.</t>
  </si>
  <si>
    <t>2.8</t>
  </si>
  <si>
    <t>2.9</t>
  </si>
  <si>
    <t>Személyzeti wc</t>
  </si>
  <si>
    <t>2.10</t>
  </si>
  <si>
    <t>WC, zuhanyzó</t>
  </si>
  <si>
    <t>2.11</t>
  </si>
  <si>
    <t>2.12</t>
  </si>
  <si>
    <t>2.13</t>
  </si>
  <si>
    <t>Folyosó</t>
  </si>
  <si>
    <t>2.14</t>
  </si>
  <si>
    <t>Étkező</t>
  </si>
  <si>
    <t>2.15</t>
  </si>
  <si>
    <t>2.17</t>
  </si>
  <si>
    <t>Iroda (raktár)</t>
  </si>
  <si>
    <t>R-2-55</t>
  </si>
  <si>
    <t>Előcsarnok</t>
  </si>
  <si>
    <t>R-2-57</t>
  </si>
  <si>
    <t>Látogatói tér</t>
  </si>
  <si>
    <t>2.30</t>
  </si>
  <si>
    <t>elérhető</t>
  </si>
  <si>
    <t>2.31</t>
  </si>
  <si>
    <t>Tisztaruha  raktár</t>
  </si>
  <si>
    <t>2.31.1</t>
  </si>
  <si>
    <t>2.31.2</t>
  </si>
  <si>
    <t>2.32</t>
  </si>
  <si>
    <t>2.35</t>
  </si>
  <si>
    <t>2.44</t>
  </si>
  <si>
    <t>2.45</t>
  </si>
  <si>
    <t>2.47</t>
  </si>
  <si>
    <t>2.49</t>
  </si>
  <si>
    <t>Személyzeti előtér</t>
  </si>
  <si>
    <t>2.49.1</t>
  </si>
  <si>
    <t>2.51</t>
  </si>
  <si>
    <t>2.52</t>
  </si>
  <si>
    <t>2.53</t>
  </si>
  <si>
    <t>2.54</t>
  </si>
  <si>
    <t>Társalgó</t>
  </si>
  <si>
    <t>Nővér tartózkodó</t>
  </si>
  <si>
    <t>Vizsgáló</t>
  </si>
  <si>
    <t>2.12.1</t>
  </si>
  <si>
    <t>2.16</t>
  </si>
  <si>
    <t>lift előtér</t>
  </si>
  <si>
    <t>2.16.1</t>
  </si>
  <si>
    <t>mészkő</t>
  </si>
  <si>
    <t>Mosdó</t>
  </si>
  <si>
    <t>Zuhanyozó</t>
  </si>
  <si>
    <t>Iroda</t>
  </si>
  <si>
    <t>Ügyeletes orvos</t>
  </si>
  <si>
    <t>Szennyes</t>
  </si>
  <si>
    <t>Takarító szertár</t>
  </si>
  <si>
    <t>2.34</t>
  </si>
  <si>
    <t>2.58</t>
  </si>
  <si>
    <t>2.59</t>
  </si>
  <si>
    <t>B3</t>
  </si>
  <si>
    <t>C</t>
  </si>
  <si>
    <t>III.</t>
  </si>
  <si>
    <t>R-3-36</t>
  </si>
  <si>
    <t>R-3-37</t>
  </si>
  <si>
    <t>Pissoire</t>
  </si>
  <si>
    <t>R-3-38</t>
  </si>
  <si>
    <t>R-3-39</t>
  </si>
  <si>
    <t>R-3-40</t>
  </si>
  <si>
    <t>R-3-41</t>
  </si>
  <si>
    <t>R-3-42</t>
  </si>
  <si>
    <t>R-3-43</t>
  </si>
  <si>
    <t>R-3-01</t>
  </si>
  <si>
    <t>Zsibongó</t>
  </si>
  <si>
    <t>3.2</t>
  </si>
  <si>
    <t>3.6</t>
  </si>
  <si>
    <t>Tartózkodó</t>
  </si>
  <si>
    <t>3.7</t>
  </si>
  <si>
    <t>Zuhanyzó fülke</t>
  </si>
  <si>
    <t>3.8</t>
  </si>
  <si>
    <t>3.9</t>
  </si>
  <si>
    <t>3.10</t>
  </si>
  <si>
    <t>3.27</t>
  </si>
  <si>
    <t>3.28</t>
  </si>
  <si>
    <t>3.52</t>
  </si>
  <si>
    <t>Lift előtér - átfektető</t>
  </si>
  <si>
    <t>Műtő 1</t>
  </si>
  <si>
    <t>Bemosakodó</t>
  </si>
  <si>
    <t>Steril raktár</t>
  </si>
  <si>
    <t>Műtő 2</t>
  </si>
  <si>
    <t>Műtő folyosó</t>
  </si>
  <si>
    <t>Műtő 3</t>
  </si>
  <si>
    <t>Műtő 4</t>
  </si>
  <si>
    <t>R-3-06</t>
  </si>
  <si>
    <t>R-3-03</t>
  </si>
  <si>
    <t>Konzílium</t>
  </si>
  <si>
    <t>3.1</t>
  </si>
  <si>
    <t>Előadóterem</t>
  </si>
  <si>
    <t>3.3</t>
  </si>
  <si>
    <t>Előadóterem technikai helyiségek</t>
  </si>
  <si>
    <t>3.4</t>
  </si>
  <si>
    <t>Előadóterem raktár</t>
  </si>
  <si>
    <t>3.5</t>
  </si>
  <si>
    <t>3.52.2</t>
  </si>
  <si>
    <t>3.52.1</t>
  </si>
  <si>
    <t>3.89</t>
  </si>
  <si>
    <t>Összesen:</t>
  </si>
  <si>
    <t>Vákuum központ</t>
  </si>
  <si>
    <t>Orvosi gáz központ</t>
  </si>
  <si>
    <t>P</t>
  </si>
  <si>
    <t>B2</t>
  </si>
  <si>
    <t>K00.39</t>
  </si>
  <si>
    <t>Manipulációs tér</t>
  </si>
  <si>
    <t>K00.39/B</t>
  </si>
  <si>
    <t>Vegyszer</t>
  </si>
  <si>
    <t>K00.74</t>
  </si>
  <si>
    <t>Sav raktár</t>
  </si>
  <si>
    <t>K00.25</t>
  </si>
  <si>
    <t>Vízgépház</t>
  </si>
  <si>
    <t>K00.57</t>
  </si>
  <si>
    <t xml:space="preserve">Vízgépészet </t>
  </si>
  <si>
    <t>K00.58</t>
  </si>
  <si>
    <t>Medencetér szellőző</t>
  </si>
  <si>
    <t>K01.155</t>
  </si>
  <si>
    <t>földszint területére 1 fő ügyeletes</t>
  </si>
  <si>
    <t>K01.13</t>
  </si>
  <si>
    <t>Ambuláns beteg váró</t>
  </si>
  <si>
    <t>K01.89</t>
  </si>
  <si>
    <t>K01.141</t>
  </si>
  <si>
    <t>K01.84</t>
  </si>
  <si>
    <t>Gipszelő</t>
  </si>
  <si>
    <t>K01.87</t>
  </si>
  <si>
    <t>K01.88</t>
  </si>
  <si>
    <t>K01.90</t>
  </si>
  <si>
    <t>K01.86</t>
  </si>
  <si>
    <t>Kötöző</t>
  </si>
  <si>
    <t>K01.91</t>
  </si>
  <si>
    <t>K01.92</t>
  </si>
  <si>
    <t>K01.93</t>
  </si>
  <si>
    <t>K01.94</t>
  </si>
  <si>
    <t>K01.95</t>
  </si>
  <si>
    <t>K01.96</t>
  </si>
  <si>
    <t>K01.97</t>
  </si>
  <si>
    <t>K01.97/A</t>
  </si>
  <si>
    <t>Boksz</t>
  </si>
  <si>
    <t>K01.97/B</t>
  </si>
  <si>
    <t>K01.97/C</t>
  </si>
  <si>
    <t>K01.97/D</t>
  </si>
  <si>
    <t>K01.98</t>
  </si>
  <si>
    <t>Faraday kabin</t>
  </si>
  <si>
    <t>K01.99</t>
  </si>
  <si>
    <t>Gyógytornász</t>
  </si>
  <si>
    <t>K01.100</t>
  </si>
  <si>
    <t>Egyéni torna</t>
  </si>
  <si>
    <t>K01.101</t>
  </si>
  <si>
    <t>K01.101/A</t>
  </si>
  <si>
    <t>K01.102</t>
  </si>
  <si>
    <t>K01.103</t>
  </si>
  <si>
    <t>K01.104</t>
  </si>
  <si>
    <t>Tornaterem</t>
  </si>
  <si>
    <t>K01.162</t>
  </si>
  <si>
    <t>Személyzeti mosdó</t>
  </si>
  <si>
    <t>K01.162/A</t>
  </si>
  <si>
    <t>K01.118</t>
  </si>
  <si>
    <t>Járáslabor</t>
  </si>
  <si>
    <t>K01.119</t>
  </si>
  <si>
    <t>K01.120</t>
  </si>
  <si>
    <t>Pissoir</t>
  </si>
  <si>
    <t>K01.120/B</t>
  </si>
  <si>
    <t>K01.121</t>
  </si>
  <si>
    <t>Női Mosdó</t>
  </si>
  <si>
    <t>K01.121/A</t>
  </si>
  <si>
    <t>K01.121/B</t>
  </si>
  <si>
    <t>K01.121/C</t>
  </si>
  <si>
    <t>K01.122</t>
  </si>
  <si>
    <t>Leletező</t>
  </si>
  <si>
    <t>K01.123</t>
  </si>
  <si>
    <t>K01.123/A</t>
  </si>
  <si>
    <t>K01.123/B</t>
  </si>
  <si>
    <t>K01.123/C</t>
  </si>
  <si>
    <t>K01.124</t>
  </si>
  <si>
    <t>K01.125</t>
  </si>
  <si>
    <t>Vetköző</t>
  </si>
  <si>
    <t>K01.126</t>
  </si>
  <si>
    <t>K01.22</t>
  </si>
  <si>
    <t>K01.126/A</t>
  </si>
  <si>
    <t>K01.127</t>
  </si>
  <si>
    <t>K01.127/A</t>
  </si>
  <si>
    <t>Tiszta raktár</t>
  </si>
  <si>
    <t>K01.128</t>
  </si>
  <si>
    <t>Medencetér</t>
  </si>
  <si>
    <t>K01.129</t>
  </si>
  <si>
    <t>K01.19</t>
  </si>
  <si>
    <t>B1</t>
  </si>
  <si>
    <t>Füstmentes előtér</t>
  </si>
  <si>
    <t>3 ágyas szoba</t>
  </si>
  <si>
    <t>2 ágyas szoba</t>
  </si>
  <si>
    <t>Akadálymentes Fürdő</t>
  </si>
  <si>
    <t>Nappali</t>
  </si>
  <si>
    <t>Szennyes-ágytál</t>
  </si>
  <si>
    <t>Tisztaruha raktár</t>
  </si>
  <si>
    <t>Nővér állomás</t>
  </si>
  <si>
    <t>-</t>
  </si>
  <si>
    <t>Nővér dolgozó</t>
  </si>
  <si>
    <t>Főnővér</t>
  </si>
  <si>
    <t>Titkárság</t>
  </si>
  <si>
    <t>Professzor</t>
  </si>
  <si>
    <t>Férfi Mosdó</t>
  </si>
  <si>
    <t>Belső falfelület (m2)</t>
  </si>
  <si>
    <t>Ortopédia</t>
  </si>
  <si>
    <t>K00.12</t>
  </si>
  <si>
    <t>2 fő</t>
  </si>
  <si>
    <t>K00.12/A</t>
  </si>
  <si>
    <t>K00.13</t>
  </si>
  <si>
    <t>Méreg raktár</t>
  </si>
  <si>
    <t>K00.14</t>
  </si>
  <si>
    <t>Gyógyszer raktár-elo.</t>
  </si>
  <si>
    <t>K00.16</t>
  </si>
  <si>
    <t>K00.18</t>
  </si>
  <si>
    <t>Szem. Tartózkodó</t>
  </si>
  <si>
    <t>rm</t>
  </si>
  <si>
    <t>K00.18/A</t>
  </si>
  <si>
    <t>Hűtőkamra tér</t>
  </si>
  <si>
    <t>K00.20</t>
  </si>
  <si>
    <t>Hűtők</t>
  </si>
  <si>
    <t>K00.21/A</t>
  </si>
  <si>
    <t>Fehérnemű raktár</t>
  </si>
  <si>
    <t>K00.09</t>
  </si>
  <si>
    <t>Átadó-Kiadó</t>
  </si>
  <si>
    <t>K00.11</t>
  </si>
  <si>
    <t>R-1-29</t>
  </si>
  <si>
    <t>R-1-25</t>
  </si>
  <si>
    <t>R-1-26</t>
  </si>
  <si>
    <t>Tanácsadó</t>
  </si>
  <si>
    <t>R-1-28</t>
  </si>
  <si>
    <t>R-1-30</t>
  </si>
  <si>
    <t>R-1-31</t>
  </si>
  <si>
    <t>R-1-19</t>
  </si>
  <si>
    <t>Officina</t>
  </si>
  <si>
    <t>K00.40</t>
  </si>
  <si>
    <t>Ágy összeszerelő</t>
  </si>
  <si>
    <t>K00.41</t>
  </si>
  <si>
    <t>K00.42</t>
  </si>
  <si>
    <t>Tiszta oldal</t>
  </si>
  <si>
    <t>K00.45</t>
  </si>
  <si>
    <t>Leszerelő</t>
  </si>
  <si>
    <t>K00.46</t>
  </si>
  <si>
    <t>Szennyesruha raktár</t>
  </si>
  <si>
    <t>K00.47</t>
  </si>
  <si>
    <t>Szennyes oldal</t>
  </si>
  <si>
    <t>K00.50</t>
  </si>
  <si>
    <t>Szennyes ágyváró</t>
  </si>
  <si>
    <t>K00.33</t>
  </si>
  <si>
    <t>Ágytároló-Kiadó</t>
  </si>
  <si>
    <t>K00.71</t>
  </si>
  <si>
    <t>K00.43</t>
  </si>
  <si>
    <t>K00.43/B</t>
  </si>
  <si>
    <t xml:space="preserve"> gress (cs)</t>
  </si>
  <si>
    <t>K00.44</t>
  </si>
  <si>
    <t>K00.44/B</t>
  </si>
  <si>
    <t>K00.48</t>
  </si>
  <si>
    <t>K00.48/A</t>
  </si>
  <si>
    <t>K00.49</t>
  </si>
  <si>
    <t>K00.49/A</t>
  </si>
  <si>
    <t>K00.72</t>
  </si>
  <si>
    <t>Személyzeti tartózk.</t>
  </si>
  <si>
    <t>Központi gyógyszerraktár</t>
  </si>
  <si>
    <t>K01.110</t>
  </si>
  <si>
    <t>Ágytál</t>
  </si>
  <si>
    <t>A2 - műtő, ITO, SBO</t>
  </si>
  <si>
    <t>K01.146</t>
  </si>
  <si>
    <t xml:space="preserve">Szennyes </t>
  </si>
  <si>
    <t>K01.75</t>
  </si>
  <si>
    <t>Lemosó</t>
  </si>
  <si>
    <t>K01.64</t>
  </si>
  <si>
    <t>K01.133</t>
  </si>
  <si>
    <t>K01.09</t>
  </si>
  <si>
    <t>Mentő beálló</t>
  </si>
  <si>
    <t>aszfalt</t>
  </si>
  <si>
    <t>K01.61</t>
  </si>
  <si>
    <t>K01.61/A</t>
  </si>
  <si>
    <t>K01.61/B</t>
  </si>
  <si>
    <t>K01.70</t>
  </si>
  <si>
    <t>K01.71</t>
  </si>
  <si>
    <t>K01.72</t>
  </si>
  <si>
    <t>K01.73</t>
  </si>
  <si>
    <t>K01.59</t>
  </si>
  <si>
    <t>K01.60</t>
  </si>
  <si>
    <t>K01.60/A</t>
  </si>
  <si>
    <t>K01.45</t>
  </si>
  <si>
    <t>Triage</t>
  </si>
  <si>
    <t>K01.161</t>
  </si>
  <si>
    <t>Kocsi tároló</t>
  </si>
  <si>
    <t>K01.164</t>
  </si>
  <si>
    <t>K01.46</t>
  </si>
  <si>
    <t>Sokktalanító</t>
  </si>
  <si>
    <t>K01.58</t>
  </si>
  <si>
    <t>K01.47</t>
  </si>
  <si>
    <t>K01.48</t>
  </si>
  <si>
    <t>K01.48/A</t>
  </si>
  <si>
    <t>Átöltöző</t>
  </si>
  <si>
    <t>K01.49</t>
  </si>
  <si>
    <t>K01.06</t>
  </si>
  <si>
    <t>Közlekedő váró</t>
  </si>
  <si>
    <t>K01.07</t>
  </si>
  <si>
    <t>K01.26</t>
  </si>
  <si>
    <t>K01.42</t>
  </si>
  <si>
    <t>K01.41</t>
  </si>
  <si>
    <t>K01.40</t>
  </si>
  <si>
    <t>Suturázó</t>
  </si>
  <si>
    <t>K01.39</t>
  </si>
  <si>
    <t>K01.37</t>
  </si>
  <si>
    <t>K01.36</t>
  </si>
  <si>
    <t>K01.36/A</t>
  </si>
  <si>
    <t>K01.36/B</t>
  </si>
  <si>
    <t>K01.35</t>
  </si>
  <si>
    <t xml:space="preserve">Akadálymentes WC </t>
  </si>
  <si>
    <t>K01.34</t>
  </si>
  <si>
    <t>K01.25</t>
  </si>
  <si>
    <t>Ágytál, szennyes</t>
  </si>
  <si>
    <t>K01.33</t>
  </si>
  <si>
    <t>K01.33/A</t>
  </si>
  <si>
    <t>K01.33/B</t>
  </si>
  <si>
    <t>K01.38</t>
  </si>
  <si>
    <t>K01.38/A</t>
  </si>
  <si>
    <t>K01.38/B</t>
  </si>
  <si>
    <t>K01.20</t>
  </si>
  <si>
    <t>Felügyeleti tér</t>
  </si>
  <si>
    <t>K01.30</t>
  </si>
  <si>
    <t>K01.28</t>
  </si>
  <si>
    <t>1 ágy</t>
  </si>
  <si>
    <t>K01.29</t>
  </si>
  <si>
    <t>6 ágy</t>
  </si>
  <si>
    <t>K01.27</t>
  </si>
  <si>
    <t>K01.24</t>
  </si>
  <si>
    <t>K01.54</t>
  </si>
  <si>
    <t>K01.32</t>
  </si>
  <si>
    <t>K01.32/A</t>
  </si>
  <si>
    <t>K01.32/B</t>
  </si>
  <si>
    <t>K01.65</t>
  </si>
  <si>
    <t>K01.76</t>
  </si>
  <si>
    <t>Személyzeti Női</t>
  </si>
  <si>
    <t>K01.76/A</t>
  </si>
  <si>
    <t>K01.31</t>
  </si>
  <si>
    <t>Személyzeti Férfi</t>
  </si>
  <si>
    <t>K01.31/A</t>
  </si>
  <si>
    <t>K01.04</t>
  </si>
  <si>
    <t>Kórházi beteg váró</t>
  </si>
  <si>
    <t>K01.08</t>
  </si>
  <si>
    <t>Váró előcsarnok</t>
  </si>
  <si>
    <t>A2 - műtő, ITO, SBO, Kp.Steril</t>
  </si>
  <si>
    <t>K01.10</t>
  </si>
  <si>
    <t xml:space="preserve">Váró </t>
  </si>
  <si>
    <t>K01.163</t>
  </si>
  <si>
    <t>K01.62</t>
  </si>
  <si>
    <t>Diszpécser</t>
  </si>
  <si>
    <t>K01.44</t>
  </si>
  <si>
    <t>Érték megőrző</t>
  </si>
  <si>
    <t>K01.43</t>
  </si>
  <si>
    <t>K01.139</t>
  </si>
  <si>
    <t>Személyzeti pihenő</t>
  </si>
  <si>
    <t>K01.139/A</t>
  </si>
  <si>
    <t>K01.18</t>
  </si>
  <si>
    <t>K01.135</t>
  </si>
  <si>
    <t>K01.135/A</t>
  </si>
  <si>
    <t>K01.136</t>
  </si>
  <si>
    <t>K01.136/A</t>
  </si>
  <si>
    <t>K01.137</t>
  </si>
  <si>
    <t>Főorvosi szoba</t>
  </si>
  <si>
    <t>K01.137/A</t>
  </si>
  <si>
    <t>K01.140</t>
  </si>
  <si>
    <t>Ügyeletes asszisztens</t>
  </si>
  <si>
    <t>K01.143</t>
  </si>
  <si>
    <t>K01.144</t>
  </si>
  <si>
    <t>K01.144/A</t>
  </si>
  <si>
    <t>K01.144/B</t>
  </si>
  <si>
    <t>K01.50</t>
  </si>
  <si>
    <t>Kapcsoló</t>
  </si>
  <si>
    <t>K01.51</t>
  </si>
  <si>
    <t>Röntgen</t>
  </si>
  <si>
    <t>K01.52</t>
  </si>
  <si>
    <t>K01.53</t>
  </si>
  <si>
    <t>K01.55</t>
  </si>
  <si>
    <t>K01.83</t>
  </si>
  <si>
    <t>K01.83/A</t>
  </si>
  <si>
    <t>K01.56</t>
  </si>
  <si>
    <t>Vezérlő</t>
  </si>
  <si>
    <t>K01.57</t>
  </si>
  <si>
    <t>CT</t>
  </si>
  <si>
    <t>K01.05</t>
  </si>
  <si>
    <t>K01.51/B</t>
  </si>
  <si>
    <t>K01.52/B</t>
  </si>
  <si>
    <t>K01.53/B</t>
  </si>
  <si>
    <t>K01.160</t>
  </si>
  <si>
    <t>K01.160/A</t>
  </si>
  <si>
    <t>K01.160/B</t>
  </si>
  <si>
    <t>K01.159</t>
  </si>
  <si>
    <t>K01.159/A</t>
  </si>
  <si>
    <t>K01.159/B</t>
  </si>
  <si>
    <t>K02.42</t>
  </si>
  <si>
    <t>Orvos, 2 fő</t>
  </si>
  <si>
    <t>2 fő radiológia összes</t>
  </si>
  <si>
    <t>K02.42/A</t>
  </si>
  <si>
    <t>AM Fürdő</t>
  </si>
  <si>
    <t>K02.41</t>
  </si>
  <si>
    <t>K02.41/A</t>
  </si>
  <si>
    <t>K02.30</t>
  </si>
  <si>
    <t>K02.30/A</t>
  </si>
  <si>
    <t>K02.31</t>
  </si>
  <si>
    <t>K02.31/A</t>
  </si>
  <si>
    <t>K02.63</t>
  </si>
  <si>
    <t>Spect CT</t>
  </si>
  <si>
    <t>K02.64</t>
  </si>
  <si>
    <t>Pajzsmirigy vizsgáló</t>
  </si>
  <si>
    <t>K02.62</t>
  </si>
  <si>
    <t>műgyanta</t>
  </si>
  <si>
    <t>K02.56</t>
  </si>
  <si>
    <t>K02.56/A</t>
  </si>
  <si>
    <t>K02.60</t>
  </si>
  <si>
    <t>Meleg labor</t>
  </si>
  <si>
    <t>K02.59</t>
  </si>
  <si>
    <t>K02.59/A</t>
  </si>
  <si>
    <t>Beadó</t>
  </si>
  <si>
    <t>K02.55</t>
  </si>
  <si>
    <t>Aktív váró</t>
  </si>
  <si>
    <t>K02.51</t>
  </si>
  <si>
    <t>Fektető</t>
  </si>
  <si>
    <t>K02.52</t>
  </si>
  <si>
    <t>K02.52/A</t>
  </si>
  <si>
    <t>Csecsemő lemosó</t>
  </si>
  <si>
    <t>K02.09</t>
  </si>
  <si>
    <t>K02.11</t>
  </si>
  <si>
    <t>Váró (Inaktív)</t>
  </si>
  <si>
    <t>K02.45</t>
  </si>
  <si>
    <t>K02.45/A</t>
  </si>
  <si>
    <t>K02.45/B</t>
  </si>
  <si>
    <t>K02.47</t>
  </si>
  <si>
    <t>K02.47/A</t>
  </si>
  <si>
    <t>K02.48</t>
  </si>
  <si>
    <t>K02.48/A</t>
  </si>
  <si>
    <t>K02.49</t>
  </si>
  <si>
    <t>K02.50</t>
  </si>
  <si>
    <t>K02.04</t>
  </si>
  <si>
    <t>Kórházi Betegváró</t>
  </si>
  <si>
    <t>K02.03</t>
  </si>
  <si>
    <t>K02.32</t>
  </si>
  <si>
    <t>Ágyváró</t>
  </si>
  <si>
    <t>K02.33</t>
  </si>
  <si>
    <t>Ultrahang vizsgáló</t>
  </si>
  <si>
    <t>K02.33/A</t>
  </si>
  <si>
    <t>K02.66</t>
  </si>
  <si>
    <t>K02.66/A</t>
  </si>
  <si>
    <t>K02.70</t>
  </si>
  <si>
    <t>K02.71</t>
  </si>
  <si>
    <t>Angiográfia</t>
  </si>
  <si>
    <t>K02.71/A</t>
  </si>
  <si>
    <t>Technikai helyiség</t>
  </si>
  <si>
    <t>K02.72</t>
  </si>
  <si>
    <t>K02.73</t>
  </si>
  <si>
    <t>K02.10</t>
  </si>
  <si>
    <t>Leletező-vezérlő</t>
  </si>
  <si>
    <t>K02.67</t>
  </si>
  <si>
    <t>K02.67/A</t>
  </si>
  <si>
    <t>K02.68</t>
  </si>
  <si>
    <t>K02.68/A</t>
  </si>
  <si>
    <t>K02.74</t>
  </si>
  <si>
    <t>K02.75</t>
  </si>
  <si>
    <t>K02.75/A</t>
  </si>
  <si>
    <t>K02.76</t>
  </si>
  <si>
    <t>K02.77</t>
  </si>
  <si>
    <t>K02.65</t>
  </si>
  <si>
    <t>K02.58</t>
  </si>
  <si>
    <t>CT-MR leletező</t>
  </si>
  <si>
    <t>K02.69</t>
  </si>
  <si>
    <t>K02.08</t>
  </si>
  <si>
    <t>K02.57</t>
  </si>
  <si>
    <t>K02.158</t>
  </si>
  <si>
    <t>K02.156</t>
  </si>
  <si>
    <t>K02.160</t>
  </si>
  <si>
    <t>K02.160/A</t>
  </si>
  <si>
    <t>K02.160/B</t>
  </si>
  <si>
    <t>K02.79/B</t>
  </si>
  <si>
    <t>K02.157/A</t>
  </si>
  <si>
    <t>K02.157/B</t>
  </si>
  <si>
    <t>K02.159</t>
  </si>
  <si>
    <t>MR</t>
  </si>
  <si>
    <t>K02.83</t>
  </si>
  <si>
    <t>K02.24</t>
  </si>
  <si>
    <t>K02.159/A</t>
  </si>
  <si>
    <t>MR Technikai helyiség</t>
  </si>
  <si>
    <t>K02.05</t>
  </si>
  <si>
    <t>K02.43</t>
  </si>
  <si>
    <t>Szem. Pih. - teakonyha</t>
  </si>
  <si>
    <t>K02.40</t>
  </si>
  <si>
    <t>Izotóp leletező</t>
  </si>
  <si>
    <t>K02.39</t>
  </si>
  <si>
    <t>Orvosi dolgozó</t>
  </si>
  <si>
    <t>K02.38</t>
  </si>
  <si>
    <t>K02.37</t>
  </si>
  <si>
    <t>K02.36</t>
  </si>
  <si>
    <t>K02.36/A</t>
  </si>
  <si>
    <t>K02.35</t>
  </si>
  <si>
    <t>K02.35/A</t>
  </si>
  <si>
    <t>K02.34</t>
  </si>
  <si>
    <t>Mérnöki dolgozó</t>
  </si>
  <si>
    <t>K02.27</t>
  </si>
  <si>
    <t>K02.28</t>
  </si>
  <si>
    <t>K02.28/A</t>
  </si>
  <si>
    <t>K02.29</t>
  </si>
  <si>
    <t>Orvos</t>
  </si>
  <si>
    <t>K02.29/A</t>
  </si>
  <si>
    <t>K02.53</t>
  </si>
  <si>
    <t>Decont. Hulladék</t>
  </si>
  <si>
    <t>K02.54</t>
  </si>
  <si>
    <t>Szerver</t>
  </si>
  <si>
    <t>K02.44</t>
  </si>
  <si>
    <t>K02.44/A</t>
  </si>
  <si>
    <t>Zuhany</t>
  </si>
  <si>
    <t>K02.44/B</t>
  </si>
  <si>
    <t>K02.61</t>
  </si>
  <si>
    <t>Leíró</t>
  </si>
  <si>
    <t>K02.46</t>
  </si>
  <si>
    <t>Recepció</t>
  </si>
  <si>
    <t>K02.85</t>
  </si>
  <si>
    <t>?</t>
  </si>
  <si>
    <t>K02.86</t>
  </si>
  <si>
    <t>K02.86/A</t>
  </si>
  <si>
    <t>Központi radiológia</t>
  </si>
  <si>
    <t>K01.138</t>
  </si>
  <si>
    <t>Kiadó</t>
  </si>
  <si>
    <t xml:space="preserve">3 garnitúra dedikált takarító eszköz </t>
  </si>
  <si>
    <t>K01.16</t>
  </si>
  <si>
    <t>K01.17</t>
  </si>
  <si>
    <t>Átvevő</t>
  </si>
  <si>
    <t>K01.17/A</t>
  </si>
  <si>
    <t>K01.17/B</t>
  </si>
  <si>
    <t>K01.116</t>
  </si>
  <si>
    <t>K01.116/A</t>
  </si>
  <si>
    <t>K01.116/B</t>
  </si>
  <si>
    <t>K01.117</t>
  </si>
  <si>
    <t>K01.111</t>
  </si>
  <si>
    <t>Textil hajtogató</t>
  </si>
  <si>
    <t>K01.112</t>
  </si>
  <si>
    <t>Vegyszer raktár</t>
  </si>
  <si>
    <t>K01.113</t>
  </si>
  <si>
    <t>Endoszkóp mosó</t>
  </si>
  <si>
    <t>K01.114</t>
  </si>
  <si>
    <t>Mosogató</t>
  </si>
  <si>
    <t>K01.131</t>
  </si>
  <si>
    <t>Csomagoló</t>
  </si>
  <si>
    <t>K01.132</t>
  </si>
  <si>
    <t>Steril Raktár</t>
  </si>
  <si>
    <t>K01.142</t>
  </si>
  <si>
    <t>K01.147</t>
  </si>
  <si>
    <t>K01.148</t>
  </si>
  <si>
    <t>K01.148/A</t>
  </si>
  <si>
    <t>K01.148/B</t>
  </si>
  <si>
    <t>K01.149</t>
  </si>
  <si>
    <t>Női öltöző</t>
  </si>
  <si>
    <t>K01.150</t>
  </si>
  <si>
    <t>K01.151</t>
  </si>
  <si>
    <t>K01.152</t>
  </si>
  <si>
    <t>Férfi öltöző</t>
  </si>
  <si>
    <t>K01.153</t>
  </si>
  <si>
    <t>K01.153/A</t>
  </si>
  <si>
    <t>K01.153/B</t>
  </si>
  <si>
    <t>K01.154</t>
  </si>
  <si>
    <t>Csomagolóanyag raktár</t>
  </si>
  <si>
    <t>K01.134</t>
  </si>
  <si>
    <t>K01.134/A</t>
  </si>
  <si>
    <t>X</t>
  </si>
  <si>
    <t>Lift előtér*</t>
  </si>
  <si>
    <t>Közlekedő *</t>
  </si>
  <si>
    <t>heti 1x gépi takarítás</t>
  </si>
  <si>
    <t>K01.115</t>
  </si>
  <si>
    <t>Központi sterilizáló</t>
  </si>
  <si>
    <t>Megjegyzés (egyedi kérések, takarítás időpontja, stb.)</t>
  </si>
  <si>
    <t>K02.136</t>
  </si>
  <si>
    <t>K02.136/A</t>
  </si>
  <si>
    <t>K02.155</t>
  </si>
  <si>
    <t>IV.</t>
  </si>
  <si>
    <t>K05.115</t>
  </si>
  <si>
    <t>K05.62/A</t>
  </si>
  <si>
    <t>R-4-24</t>
  </si>
  <si>
    <t>K05.105</t>
  </si>
  <si>
    <t>De. 5:00-13:00: 3 fő Du. 13:00-20:00: 2fő</t>
  </si>
  <si>
    <t>éjszakára központi ügyeletes takarító; 20:00-05:00</t>
  </si>
  <si>
    <t>K05.103</t>
  </si>
  <si>
    <t>éjszakára központi ügyeletes takarító; 20:00-05:01</t>
  </si>
  <si>
    <t>K05.103/A</t>
  </si>
  <si>
    <t>K05.102</t>
  </si>
  <si>
    <t>éjszakára központi ügyeletes takarító; 20:00-05:03</t>
  </si>
  <si>
    <t>K05.102/A</t>
  </si>
  <si>
    <t>éjszakára központi ügyeletes takarító; 20:00-05:04</t>
  </si>
  <si>
    <t>K05.101</t>
  </si>
  <si>
    <t>K05.100</t>
  </si>
  <si>
    <t>K05.100/A</t>
  </si>
  <si>
    <t>K05.99</t>
  </si>
  <si>
    <t>K05.99/A</t>
  </si>
  <si>
    <t>K05.118</t>
  </si>
  <si>
    <t>K05.98</t>
  </si>
  <si>
    <t>Női öltőző</t>
  </si>
  <si>
    <t>K05.98/A</t>
  </si>
  <si>
    <t>éjszakára központi ügyeletes takarító; 20:00-05:12</t>
  </si>
  <si>
    <t>K05.98/B</t>
  </si>
  <si>
    <t>K05.117</t>
  </si>
  <si>
    <t>K05.117/A</t>
  </si>
  <si>
    <t>K05.117/B</t>
  </si>
  <si>
    <t>K05.104</t>
  </si>
  <si>
    <t>Látogatói zsilip</t>
  </si>
  <si>
    <t>éjszakára központi ügyeletes takarító; 20:00-05:17</t>
  </si>
  <si>
    <t>K05.11</t>
  </si>
  <si>
    <t>éjszakára központi ügyeletes takarító; 20:00-05:18</t>
  </si>
  <si>
    <t>K05.08</t>
  </si>
  <si>
    <t>K05.78</t>
  </si>
  <si>
    <t>Gyógyszer raktár</t>
  </si>
  <si>
    <t>éjszakára központi ügyeletes takarító; 20:00-05:20</t>
  </si>
  <si>
    <t>K05.95</t>
  </si>
  <si>
    <t>éjszakára központi ügyeletes takarító; 20:00-05:21</t>
  </si>
  <si>
    <t>K05.96</t>
  </si>
  <si>
    <t>éjszakára központi ügyeletes takarító; 20:00-05:22</t>
  </si>
  <si>
    <t>K05.77</t>
  </si>
  <si>
    <t>K05.97</t>
  </si>
  <si>
    <t>Ágyazó kocsi</t>
  </si>
  <si>
    <t>K05.97/A</t>
  </si>
  <si>
    <t>éjszakára központi ügyeletes takarító; 20:00-05:25</t>
  </si>
  <si>
    <t>K05.76</t>
  </si>
  <si>
    <t>Beteg fürdető</t>
  </si>
  <si>
    <t>K05.80</t>
  </si>
  <si>
    <t>3 ágyas kórterem</t>
  </si>
  <si>
    <t>éjszakára központi ügyeletes takarító; 20:00-05:28</t>
  </si>
  <si>
    <t>K05.81</t>
  </si>
  <si>
    <t>K05.82</t>
  </si>
  <si>
    <t>K05.83</t>
  </si>
  <si>
    <t>K05.84</t>
  </si>
  <si>
    <t>K05.85</t>
  </si>
  <si>
    <t>K05.86</t>
  </si>
  <si>
    <t>K05.87</t>
  </si>
  <si>
    <t>K05.09</t>
  </si>
  <si>
    <t>K05.10</t>
  </si>
  <si>
    <t>K05.113</t>
  </si>
  <si>
    <t>Gép raktár</t>
  </si>
  <si>
    <t>K05.89</t>
  </si>
  <si>
    <t>K05.89/A</t>
  </si>
  <si>
    <t>Műszer raktár</t>
  </si>
  <si>
    <t>éjszakára központi ügyeletes takarító; 20:00-05:41</t>
  </si>
  <si>
    <t>K05.89/B</t>
  </si>
  <si>
    <t>Műszer mosó</t>
  </si>
  <si>
    <t>K05.90</t>
  </si>
  <si>
    <t>éjszakára központi ügyeletes takarító; 20:00-05:44</t>
  </si>
  <si>
    <t>K05.91</t>
  </si>
  <si>
    <t>éjszakára központi ügyeletes takarító; 20:00-05:45</t>
  </si>
  <si>
    <t>K05.92</t>
  </si>
  <si>
    <t>éjszakára központi ügyeletes takarító; 20:00-05:46</t>
  </si>
  <si>
    <t>K05.92/A</t>
  </si>
  <si>
    <t>éjszakára központi ügyeletes takarító; 20:00-05:47</t>
  </si>
  <si>
    <t>K05.93</t>
  </si>
  <si>
    <t>éjszakára központi ügyeletes takarító; 20:00-05:48</t>
  </si>
  <si>
    <t>K05.94</t>
  </si>
  <si>
    <t>éjszakára központi ügyeletes takarító; 20:00-05:49</t>
  </si>
  <si>
    <t>K05.106</t>
  </si>
  <si>
    <t>1 ágyas kórterem</t>
  </si>
  <si>
    <t>éjszakára központi ügyeletes takarító; 20:00-05:50</t>
  </si>
  <si>
    <t>K05.107</t>
  </si>
  <si>
    <t>K05.108</t>
  </si>
  <si>
    <t>K05.109</t>
  </si>
  <si>
    <t>K05.110</t>
  </si>
  <si>
    <t>K05.110/A</t>
  </si>
  <si>
    <t>K05.111</t>
  </si>
  <si>
    <t>K05.63</t>
  </si>
  <si>
    <t>K05.63/A</t>
  </si>
  <si>
    <t>K05.64</t>
  </si>
  <si>
    <t>K05.64/A</t>
  </si>
  <si>
    <t>K05.65</t>
  </si>
  <si>
    <t>Adminisztráció</t>
  </si>
  <si>
    <t>K05.66</t>
  </si>
  <si>
    <t>K05.68</t>
  </si>
  <si>
    <t>K05.69</t>
  </si>
  <si>
    <t>K05.116</t>
  </si>
  <si>
    <t>K05.123</t>
  </si>
  <si>
    <t>K05.123/A</t>
  </si>
  <si>
    <t>K05.58</t>
  </si>
  <si>
    <t>K05.58/A</t>
  </si>
  <si>
    <t>K05.58/B</t>
  </si>
  <si>
    <t>K05.59</t>
  </si>
  <si>
    <t>K05.60</t>
  </si>
  <si>
    <t>K05.07</t>
  </si>
  <si>
    <t>K05.70</t>
  </si>
  <si>
    <t>Aneszteziológus</t>
  </si>
  <si>
    <t>K05.71</t>
  </si>
  <si>
    <t>K05.72</t>
  </si>
  <si>
    <t>K05.73</t>
  </si>
  <si>
    <t>K05.74</t>
  </si>
  <si>
    <t>K05.75</t>
  </si>
  <si>
    <t>K05.79</t>
  </si>
  <si>
    <t>éjszakára központi ügyeletes takarító; 20:00-05:27</t>
  </si>
  <si>
    <t>K05.88</t>
  </si>
  <si>
    <t>Kegyeleti helyiség</t>
  </si>
  <si>
    <t>K05.88/A</t>
  </si>
  <si>
    <t>Anesthesiológia</t>
  </si>
  <si>
    <t>Központi labor</t>
  </si>
  <si>
    <t>K02.17</t>
  </si>
  <si>
    <t>K02.15</t>
  </si>
  <si>
    <t>K02.16</t>
  </si>
  <si>
    <t>K02.95</t>
  </si>
  <si>
    <t>Anaerob</t>
  </si>
  <si>
    <t>K02.96</t>
  </si>
  <si>
    <t>Bakteriológia</t>
  </si>
  <si>
    <t>K02.97</t>
  </si>
  <si>
    <t>Hemokultúra gomba</t>
  </si>
  <si>
    <t>K02.97/A</t>
  </si>
  <si>
    <t>Tömegspektrométer</t>
  </si>
  <si>
    <t>K02.98</t>
  </si>
  <si>
    <t>K02.99</t>
  </si>
  <si>
    <t>Szerológia</t>
  </si>
  <si>
    <t>K02.91</t>
  </si>
  <si>
    <t>Szagfogó előtér</t>
  </si>
  <si>
    <t>K02.91/A</t>
  </si>
  <si>
    <t>Enterális labor</t>
  </si>
  <si>
    <t>K02.162</t>
  </si>
  <si>
    <t>K02.113</t>
  </si>
  <si>
    <t>Átjáró</t>
  </si>
  <si>
    <t>K02.113/A</t>
  </si>
  <si>
    <t>K02.113/B</t>
  </si>
  <si>
    <t>K02.112</t>
  </si>
  <si>
    <t>Hideg Szoba</t>
  </si>
  <si>
    <t>K02.114</t>
  </si>
  <si>
    <t>Mélyhűtő</t>
  </si>
  <si>
    <t>K02.116</t>
  </si>
  <si>
    <t>Sürgősségi labor</t>
  </si>
  <si>
    <t xml:space="preserve">K02.117 </t>
  </si>
  <si>
    <t>K02.164</t>
  </si>
  <si>
    <t>K02.131</t>
  </si>
  <si>
    <t>K02.110</t>
  </si>
  <si>
    <t>PCR 1</t>
  </si>
  <si>
    <t>K02.109</t>
  </si>
  <si>
    <t>PCR 2</t>
  </si>
  <si>
    <t>K02.89</t>
  </si>
  <si>
    <t>PCR 3</t>
  </si>
  <si>
    <t>K02.111</t>
  </si>
  <si>
    <t>K02.118</t>
  </si>
  <si>
    <t>K02.108</t>
  </si>
  <si>
    <t>Toxikológia 1</t>
  </si>
  <si>
    <t>K02.133</t>
  </si>
  <si>
    <t>K02.107</t>
  </si>
  <si>
    <t>Toxikológia 2</t>
  </si>
  <si>
    <t>K02.103</t>
  </si>
  <si>
    <t xml:space="preserve">Szennyes  </t>
  </si>
  <si>
    <t>K02.102</t>
  </si>
  <si>
    <t xml:space="preserve">K02.101 </t>
  </si>
  <si>
    <t>K02.20</t>
  </si>
  <si>
    <t>K02.119</t>
  </si>
  <si>
    <t>K02.120</t>
  </si>
  <si>
    <t>Kontroll</t>
  </si>
  <si>
    <t>K02.121</t>
  </si>
  <si>
    <t>Kémia</t>
  </si>
  <si>
    <t>K02.145</t>
  </si>
  <si>
    <t>K02.125</t>
  </si>
  <si>
    <t>Haematológia</t>
  </si>
  <si>
    <t>K02.126</t>
  </si>
  <si>
    <t>Vércsoport</t>
  </si>
  <si>
    <t>K02.127</t>
  </si>
  <si>
    <t>Speciális Haematológia</t>
  </si>
  <si>
    <t>K02.128</t>
  </si>
  <si>
    <t>Kislabor</t>
  </si>
  <si>
    <t>K02.129</t>
  </si>
  <si>
    <t>Anyaggyűjtő</t>
  </si>
  <si>
    <t>K02.130</t>
  </si>
  <si>
    <t>Labor WC</t>
  </si>
  <si>
    <t>K02.130/A</t>
  </si>
  <si>
    <t>K02.130/B</t>
  </si>
  <si>
    <t>K02.132</t>
  </si>
  <si>
    <t>Vérvétel</t>
  </si>
  <si>
    <t>K02.132/A</t>
  </si>
  <si>
    <t>Átadó</t>
  </si>
  <si>
    <t>K02.132/B</t>
  </si>
  <si>
    <t>Boksz 1</t>
  </si>
  <si>
    <t>K02.132/C</t>
  </si>
  <si>
    <t>Boksz 2</t>
  </si>
  <si>
    <t>K02.132/D</t>
  </si>
  <si>
    <t>Boksz 3</t>
  </si>
  <si>
    <t>K02.132/E</t>
  </si>
  <si>
    <t>Boksz 4</t>
  </si>
  <si>
    <t>K02.132/F</t>
  </si>
  <si>
    <t>Boksz 5</t>
  </si>
  <si>
    <t>K02.135</t>
  </si>
  <si>
    <t>K02.18</t>
  </si>
  <si>
    <t>K02.19</t>
  </si>
  <si>
    <t>K02.140</t>
  </si>
  <si>
    <t>K02.141</t>
  </si>
  <si>
    <t>K02.142</t>
  </si>
  <si>
    <t>K02.19/A</t>
  </si>
  <si>
    <t>K02.143</t>
  </si>
  <si>
    <t>K02.144</t>
  </si>
  <si>
    <t>K02.144/A</t>
  </si>
  <si>
    <t>Endokrinológiai Labor 1</t>
  </si>
  <si>
    <t>K02.146</t>
  </si>
  <si>
    <t>Endokrinológiai Labor 2</t>
  </si>
  <si>
    <t>K02.22</t>
  </si>
  <si>
    <t>K02.163</t>
  </si>
  <si>
    <t>K02.87</t>
  </si>
  <si>
    <t>K02.87/A</t>
  </si>
  <si>
    <t>K02.88</t>
  </si>
  <si>
    <t>K02.88/A</t>
  </si>
  <si>
    <t>K02.90</t>
  </si>
  <si>
    <t>K02.90/A</t>
  </si>
  <si>
    <t>K02.115</t>
  </si>
  <si>
    <t>K02.92</t>
  </si>
  <si>
    <t>Labor Vezető</t>
  </si>
  <si>
    <t>K02.93</t>
  </si>
  <si>
    <t>K02.93/A</t>
  </si>
  <si>
    <t>K02.94</t>
  </si>
  <si>
    <t>K02.94/A</t>
  </si>
  <si>
    <t>K02.100</t>
  </si>
  <si>
    <t>K02.104</t>
  </si>
  <si>
    <t>K02.104/A</t>
  </si>
  <si>
    <t>K02.104/B</t>
  </si>
  <si>
    <t>K02.105</t>
  </si>
  <si>
    <t>Asszisztensi pihenő</t>
  </si>
  <si>
    <t xml:space="preserve">K02.106 </t>
  </si>
  <si>
    <t>K02.106/A</t>
  </si>
  <si>
    <t>K02.106/B</t>
  </si>
  <si>
    <t>K02.106/C</t>
  </si>
  <si>
    <t>K02.122</t>
  </si>
  <si>
    <t>K02.147</t>
  </si>
  <si>
    <t>K02.147/A</t>
  </si>
  <si>
    <t>K02.123</t>
  </si>
  <si>
    <t>K02.123/A</t>
  </si>
  <si>
    <t>K02.124</t>
  </si>
  <si>
    <t>Diplomások</t>
  </si>
  <si>
    <t>saját takarítás, 3 havonta teljeskörű nagytakarítás</t>
  </si>
  <si>
    <t>Vérdepo</t>
  </si>
  <si>
    <t>K02.153</t>
  </si>
  <si>
    <t>Vérdepo 1</t>
  </si>
  <si>
    <t>K02.152</t>
  </si>
  <si>
    <t>Vérdepo 2</t>
  </si>
  <si>
    <t>K02.151</t>
  </si>
  <si>
    <t>K02.151/A</t>
  </si>
  <si>
    <t>K02.150</t>
  </si>
  <si>
    <t>K02.150/A</t>
  </si>
  <si>
    <t>K02.149</t>
  </si>
  <si>
    <t>K02.149/A</t>
  </si>
  <si>
    <t>K02.148</t>
  </si>
  <si>
    <t>K02.148/A</t>
  </si>
  <si>
    <t>K04.06</t>
  </si>
  <si>
    <t>K04.34</t>
  </si>
  <si>
    <t>K04.34/A</t>
  </si>
  <si>
    <t>Szennyes ágytál</t>
  </si>
  <si>
    <t>K04.41</t>
  </si>
  <si>
    <t>K04.05</t>
  </si>
  <si>
    <t>K04.04</t>
  </si>
  <si>
    <t>K04.39</t>
  </si>
  <si>
    <t>K04.39/A</t>
  </si>
  <si>
    <t>K04.42</t>
  </si>
  <si>
    <t>K04.42/A</t>
  </si>
  <si>
    <t>K04.43</t>
  </si>
  <si>
    <t>K04.43/A</t>
  </si>
  <si>
    <t>K04.44</t>
  </si>
  <si>
    <t>Akadálym. 3 ágyas sz.</t>
  </si>
  <si>
    <t>K04.44/A</t>
  </si>
  <si>
    <t>Akadálymentes fürdő</t>
  </si>
  <si>
    <t>K04.38</t>
  </si>
  <si>
    <t>K04.38/A</t>
  </si>
  <si>
    <t>K04.37</t>
  </si>
  <si>
    <t>K04.37/A</t>
  </si>
  <si>
    <t>K04.36</t>
  </si>
  <si>
    <t>K04.36/A</t>
  </si>
  <si>
    <t>K04.35</t>
  </si>
  <si>
    <t>K04.45</t>
  </si>
  <si>
    <t>K04.45/A</t>
  </si>
  <si>
    <t>K04.46</t>
  </si>
  <si>
    <t>K04.46/A</t>
  </si>
  <si>
    <t>K04.47</t>
  </si>
  <si>
    <t>K04.47/A</t>
  </si>
  <si>
    <t>K04.03</t>
  </si>
  <si>
    <t>K04.16</t>
  </si>
  <si>
    <t>K04.16/A</t>
  </si>
  <si>
    <t>K04.17</t>
  </si>
  <si>
    <t>K04.17/A</t>
  </si>
  <si>
    <t>K04.18</t>
  </si>
  <si>
    <t>K04.18/A</t>
  </si>
  <si>
    <t>K04.19</t>
  </si>
  <si>
    <t>K04.19/A</t>
  </si>
  <si>
    <t>K04.20</t>
  </si>
  <si>
    <t>K04.20/A</t>
  </si>
  <si>
    <t>K04.02</t>
  </si>
  <si>
    <t>K04.21</t>
  </si>
  <si>
    <t>K04.21/A</t>
  </si>
  <si>
    <t>K04.22</t>
  </si>
  <si>
    <t>K04.22/A</t>
  </si>
  <si>
    <t>K04.23</t>
  </si>
  <si>
    <t>K04.23/A</t>
  </si>
  <si>
    <t>K04.24</t>
  </si>
  <si>
    <t>K04.24/A</t>
  </si>
  <si>
    <t>K04.27</t>
  </si>
  <si>
    <t>K04.27/A</t>
  </si>
  <si>
    <t>K04.28</t>
  </si>
  <si>
    <t>K04.28/A</t>
  </si>
  <si>
    <t>K04.29</t>
  </si>
  <si>
    <t>K04.29/A</t>
  </si>
  <si>
    <t>K04.30</t>
  </si>
  <si>
    <t>K04.30/A</t>
  </si>
  <si>
    <t>K04.31</t>
  </si>
  <si>
    <t>K04.32</t>
  </si>
  <si>
    <t>K04.32/A</t>
  </si>
  <si>
    <t>K04.32/B</t>
  </si>
  <si>
    <t>K04.32/C</t>
  </si>
  <si>
    <t>K04.33</t>
  </si>
  <si>
    <t>K04.33/A</t>
  </si>
  <si>
    <t>K04.50</t>
  </si>
  <si>
    <t>K04.52</t>
  </si>
  <si>
    <t>K04.78</t>
  </si>
  <si>
    <t>K04.93</t>
  </si>
  <si>
    <t>K04.08</t>
  </si>
  <si>
    <t>K04.61</t>
  </si>
  <si>
    <t>K04.61/A</t>
  </si>
  <si>
    <t>K04.62</t>
  </si>
  <si>
    <t>K04.62/A</t>
  </si>
  <si>
    <t>K04.63</t>
  </si>
  <si>
    <t>K04.63/A</t>
  </si>
  <si>
    <t>K04.64</t>
  </si>
  <si>
    <t>K04.64/A</t>
  </si>
  <si>
    <t>K04.65</t>
  </si>
  <si>
    <t>K04.65/A</t>
  </si>
  <si>
    <t>K04.66</t>
  </si>
  <si>
    <t>K04.66/A</t>
  </si>
  <si>
    <t>K04.67</t>
  </si>
  <si>
    <t>K04.67/A</t>
  </si>
  <si>
    <t>K04.68</t>
  </si>
  <si>
    <t>K04.68/A</t>
  </si>
  <si>
    <t>K04.09</t>
  </si>
  <si>
    <t>K04.97</t>
  </si>
  <si>
    <t>K04.97/A</t>
  </si>
  <si>
    <t>K04.71</t>
  </si>
  <si>
    <t>K04.71/A</t>
  </si>
  <si>
    <t>K04.72</t>
  </si>
  <si>
    <t>K04.72/A</t>
  </si>
  <si>
    <t>K04.73</t>
  </si>
  <si>
    <t>K04.73/A</t>
  </si>
  <si>
    <t>K04.74</t>
  </si>
  <si>
    <t>K04.74/A</t>
  </si>
  <si>
    <t>K04.75</t>
  </si>
  <si>
    <t>K04.75/A</t>
  </si>
  <si>
    <t>K04.76</t>
  </si>
  <si>
    <t>K04.76/A</t>
  </si>
  <si>
    <t>K04.77</t>
  </si>
  <si>
    <t>K04.77/A</t>
  </si>
  <si>
    <t>K04.94</t>
  </si>
  <si>
    <t>K04.10</t>
  </si>
  <si>
    <t>K04.11</t>
  </si>
  <si>
    <t>K04.12</t>
  </si>
  <si>
    <t>K04.12/A</t>
  </si>
  <si>
    <t>K04.79</t>
  </si>
  <si>
    <t>K04.79/A</t>
  </si>
  <si>
    <t>K04.80</t>
  </si>
  <si>
    <t>K04.80/A</t>
  </si>
  <si>
    <t>K04.81</t>
  </si>
  <si>
    <t>K04.81/A</t>
  </si>
  <si>
    <t>K04.82</t>
  </si>
  <si>
    <t>K04.82/A</t>
  </si>
  <si>
    <t>K04.83</t>
  </si>
  <si>
    <t>K04.84</t>
  </si>
  <si>
    <t>K04.85</t>
  </si>
  <si>
    <t>K04.86</t>
  </si>
  <si>
    <t>K04.86/A</t>
  </si>
  <si>
    <t>K04.86/B</t>
  </si>
  <si>
    <t>K04.86/C</t>
  </si>
  <si>
    <t>K04.87</t>
  </si>
  <si>
    <t>K04.88</t>
  </si>
  <si>
    <t>K04.88/A</t>
  </si>
  <si>
    <t>K04.89</t>
  </si>
  <si>
    <t>K04.89/A</t>
  </si>
  <si>
    <t>K04.90</t>
  </si>
  <si>
    <t>K04.90/A</t>
  </si>
  <si>
    <t>K04.91</t>
  </si>
  <si>
    <t>K04.91/A</t>
  </si>
  <si>
    <t>K04.92</t>
  </si>
  <si>
    <t xml:space="preserve">K04.92/A </t>
  </si>
  <si>
    <t>R-3-33</t>
  </si>
  <si>
    <t>K04.40</t>
  </si>
  <si>
    <t>K04.25</t>
  </si>
  <si>
    <t>K04.25/A</t>
  </si>
  <si>
    <t>K04.26</t>
  </si>
  <si>
    <t>K04.26/A</t>
  </si>
  <si>
    <t>K04.49</t>
  </si>
  <si>
    <t>K04.49/A</t>
  </si>
  <si>
    <t>K04.48</t>
  </si>
  <si>
    <t>K04.48/A</t>
  </si>
  <si>
    <t>K04.69</t>
  </si>
  <si>
    <t>K04.70</t>
  </si>
  <si>
    <t>K04.95</t>
  </si>
  <si>
    <t>K04.96</t>
  </si>
  <si>
    <t>K04.96/A</t>
  </si>
  <si>
    <t>R-3-13</t>
  </si>
  <si>
    <t>Közekedő</t>
  </si>
  <si>
    <t>R-3-13/A</t>
  </si>
  <si>
    <t>R-3-14</t>
  </si>
  <si>
    <t>R-3-15</t>
  </si>
  <si>
    <t>R-3-16</t>
  </si>
  <si>
    <t>R-3-17</t>
  </si>
  <si>
    <t>R-3-18</t>
  </si>
  <si>
    <t>R-3-19</t>
  </si>
  <si>
    <t>R-3-20</t>
  </si>
  <si>
    <t>R-3-21</t>
  </si>
  <si>
    <t>R-3-22</t>
  </si>
  <si>
    <t>R-3-23</t>
  </si>
  <si>
    <t>R-3-24</t>
  </si>
  <si>
    <t>R-3-25</t>
  </si>
  <si>
    <t>R-3-26</t>
  </si>
  <si>
    <t>R-3-27</t>
  </si>
  <si>
    <t>R-3-28</t>
  </si>
  <si>
    <t>R-3-29</t>
  </si>
  <si>
    <t>R-3-30</t>
  </si>
  <si>
    <t>R-3-31</t>
  </si>
  <si>
    <t>R-3-32</t>
  </si>
  <si>
    <t>R-3-34</t>
  </si>
  <si>
    <t>R-3-35</t>
  </si>
  <si>
    <t>K05.122</t>
  </si>
  <si>
    <t>K05.122/A</t>
  </si>
  <si>
    <t>K05.44</t>
  </si>
  <si>
    <t>6 ágyas őrző</t>
  </si>
  <si>
    <t>K05.04</t>
  </si>
  <si>
    <t>K05.49</t>
  </si>
  <si>
    <t>Akadálym. 2 ágyas sz.</t>
  </si>
  <si>
    <t>K05.49/A</t>
  </si>
  <si>
    <t>K05.50</t>
  </si>
  <si>
    <t>K05.50/A</t>
  </si>
  <si>
    <t>K05.51</t>
  </si>
  <si>
    <t>K05.51/A</t>
  </si>
  <si>
    <t>K05.45</t>
  </si>
  <si>
    <t>K05.45/A</t>
  </si>
  <si>
    <t>K05.41</t>
  </si>
  <si>
    <t>K05.43</t>
  </si>
  <si>
    <t>K05.38</t>
  </si>
  <si>
    <t>K05.03</t>
  </si>
  <si>
    <t>K05.37</t>
  </si>
  <si>
    <t>K05.37/A</t>
  </si>
  <si>
    <t>K05.37/B</t>
  </si>
  <si>
    <t>K05.46</t>
  </si>
  <si>
    <t>K05.46/A</t>
  </si>
  <si>
    <t>K05.48</t>
  </si>
  <si>
    <t>K05.112</t>
  </si>
  <si>
    <t>K05.47</t>
  </si>
  <si>
    <t>K05.52</t>
  </si>
  <si>
    <t>Traumatológia</t>
  </si>
  <si>
    <t>K05.32</t>
  </si>
  <si>
    <t>A2 - műtő, ITO, SBO, Kp.steril</t>
  </si>
  <si>
    <t>K05.06</t>
  </si>
  <si>
    <t>K05.121</t>
  </si>
  <si>
    <t>Ágytál-szennyes</t>
  </si>
  <si>
    <t>K05.120</t>
  </si>
  <si>
    <t>K05.21</t>
  </si>
  <si>
    <t>K05.119</t>
  </si>
  <si>
    <t>K05.119/A</t>
  </si>
  <si>
    <t>K05.119/B</t>
  </si>
  <si>
    <t>K05.119/C</t>
  </si>
  <si>
    <t>K05.31</t>
  </si>
  <si>
    <t>Ágyazó kocsi, kegyeleti</t>
  </si>
  <si>
    <t>K05.31/A</t>
  </si>
  <si>
    <t>K05.29</t>
  </si>
  <si>
    <t>K05.30</t>
  </si>
  <si>
    <t>K05.30/A</t>
  </si>
  <si>
    <t>K05.30/B</t>
  </si>
  <si>
    <t>K05.33</t>
  </si>
  <si>
    <t>K05.33/A</t>
  </si>
  <si>
    <t>K05.33/B</t>
  </si>
  <si>
    <t>K05.34</t>
  </si>
  <si>
    <t>K05.36</t>
  </si>
  <si>
    <t>K05.35</t>
  </si>
  <si>
    <t>Tiszta ruha raktár</t>
  </si>
  <si>
    <t>K05.28</t>
  </si>
  <si>
    <t>K05.26</t>
  </si>
  <si>
    <t>K05.42</t>
  </si>
  <si>
    <t>K05.18</t>
  </si>
  <si>
    <t>K05.16</t>
  </si>
  <si>
    <t>K05.15</t>
  </si>
  <si>
    <t>K05.19</t>
  </si>
  <si>
    <t>K05.27</t>
  </si>
  <si>
    <t>K05.27/A</t>
  </si>
  <si>
    <t>K05.20</t>
  </si>
  <si>
    <t>K05.22</t>
  </si>
  <si>
    <t>K05.23</t>
  </si>
  <si>
    <t>K05.24</t>
  </si>
  <si>
    <t>K05.25</t>
  </si>
  <si>
    <t>K05.40</t>
  </si>
  <si>
    <t>K05.39</t>
  </si>
  <si>
    <t>K05.39/A</t>
  </si>
  <si>
    <t>K05.17</t>
  </si>
  <si>
    <t>K05.17/A</t>
  </si>
  <si>
    <t>K05.54</t>
  </si>
  <si>
    <t>K05.55</t>
  </si>
  <si>
    <t>K05.56</t>
  </si>
  <si>
    <t>K05.57</t>
  </si>
  <si>
    <t>K05.57/A</t>
  </si>
  <si>
    <t>Trauma intenzív</t>
  </si>
  <si>
    <t>R-4-01</t>
  </si>
  <si>
    <t>R-4-02</t>
  </si>
  <si>
    <t>R-4-03</t>
  </si>
  <si>
    <t>R-4-04</t>
  </si>
  <si>
    <t>R-4-05</t>
  </si>
  <si>
    <t>R-4-06</t>
  </si>
  <si>
    <t>R-4-07</t>
  </si>
  <si>
    <t>R-4-08</t>
  </si>
  <si>
    <t>R-4-09</t>
  </si>
  <si>
    <t>R-4-10</t>
  </si>
  <si>
    <t>R-4-11</t>
  </si>
  <si>
    <t>R-4-12</t>
  </si>
  <si>
    <t>R-4-13</t>
  </si>
  <si>
    <t>Tárgyaló iroda</t>
  </si>
  <si>
    <t>R-4-14</t>
  </si>
  <si>
    <t>R-4-15</t>
  </si>
  <si>
    <t>R-4-16</t>
  </si>
  <si>
    <t>R-4-17</t>
  </si>
  <si>
    <t>R-4-18</t>
  </si>
  <si>
    <t>R-4-19</t>
  </si>
  <si>
    <t>R-4-20</t>
  </si>
  <si>
    <t>R-4-21</t>
  </si>
  <si>
    <t>R-4-22</t>
  </si>
  <si>
    <t>R-4-23</t>
  </si>
  <si>
    <t>R-4-25</t>
  </si>
  <si>
    <t>R-4-27</t>
  </si>
  <si>
    <t>R-4-28</t>
  </si>
  <si>
    <t>V.</t>
  </si>
  <si>
    <t>K06.51</t>
  </si>
  <si>
    <t>K06.51/A</t>
  </si>
  <si>
    <t>Lapmosó</t>
  </si>
  <si>
    <t>K06.03</t>
  </si>
  <si>
    <t>K06.04</t>
  </si>
  <si>
    <t>K06.05</t>
  </si>
  <si>
    <t>Nővér dolgozó, steril r.</t>
  </si>
  <si>
    <t>K06.06</t>
  </si>
  <si>
    <t>K06.47</t>
  </si>
  <si>
    <t>K06.114</t>
  </si>
  <si>
    <t>K06.48</t>
  </si>
  <si>
    <t>K06.43</t>
  </si>
  <si>
    <t>Kivezető</t>
  </si>
  <si>
    <t>K06.44</t>
  </si>
  <si>
    <t>K06.45</t>
  </si>
  <si>
    <t>K06.46</t>
  </si>
  <si>
    <t>K06.42</t>
  </si>
  <si>
    <t>K06.41</t>
  </si>
  <si>
    <t>K06.40</t>
  </si>
  <si>
    <t>K06.08</t>
  </si>
  <si>
    <t>K06.07</t>
  </si>
  <si>
    <t>K06.50</t>
  </si>
  <si>
    <t>K06.37</t>
  </si>
  <si>
    <t>K06.36</t>
  </si>
  <si>
    <t>K06.38</t>
  </si>
  <si>
    <t>K06.35</t>
  </si>
  <si>
    <t>K06.34</t>
  </si>
  <si>
    <t>K06.33</t>
  </si>
  <si>
    <t>K06.32</t>
  </si>
  <si>
    <t>K06.10</t>
  </si>
  <si>
    <t>K06.10/A</t>
  </si>
  <si>
    <t>K06.61</t>
  </si>
  <si>
    <t>K06.31</t>
  </si>
  <si>
    <t>K06.30</t>
  </si>
  <si>
    <t>K06.27</t>
  </si>
  <si>
    <t>K06.28</t>
  </si>
  <si>
    <t>K06.29</t>
  </si>
  <si>
    <t>Műtő 5</t>
  </si>
  <si>
    <t>K06.26</t>
  </si>
  <si>
    <t>K06.23</t>
  </si>
  <si>
    <t>K06.24</t>
  </si>
  <si>
    <t xml:space="preserve">K06.25 </t>
  </si>
  <si>
    <t>Műtő 6</t>
  </si>
  <si>
    <t>K06.09</t>
  </si>
  <si>
    <t>K06.52</t>
  </si>
  <si>
    <t>K06.53</t>
  </si>
  <si>
    <t>K06.54</t>
  </si>
  <si>
    <t>K06.54/A</t>
  </si>
  <si>
    <t>K06.55</t>
  </si>
  <si>
    <t>K06.55/A</t>
  </si>
  <si>
    <t>K06.56</t>
  </si>
  <si>
    <t>Szennyes anyag zsilip</t>
  </si>
  <si>
    <t>K06.58</t>
  </si>
  <si>
    <t>K06.58/A</t>
  </si>
  <si>
    <t>K06.59</t>
  </si>
  <si>
    <t>K06.60</t>
  </si>
  <si>
    <t>K06.60/A</t>
  </si>
  <si>
    <t>K06.60/B</t>
  </si>
  <si>
    <t>K06.22</t>
  </si>
  <si>
    <t>Tiszta eszköz zsilip</t>
  </si>
  <si>
    <t>K06.49</t>
  </si>
  <si>
    <t>K06.101</t>
  </si>
  <si>
    <t>K06.57</t>
  </si>
  <si>
    <t>Ébredő</t>
  </si>
  <si>
    <t>K06.62</t>
  </si>
  <si>
    <t>Aneszt. Gép raktár</t>
  </si>
  <si>
    <t>K06.63</t>
  </si>
  <si>
    <t>K06.115</t>
  </si>
  <si>
    <t>Gépjavító</t>
  </si>
  <si>
    <t>K06.73</t>
  </si>
  <si>
    <t>Kiöntő</t>
  </si>
  <si>
    <t>K06.64</t>
  </si>
  <si>
    <t>K06.64/A</t>
  </si>
  <si>
    <t>K06.64/B</t>
  </si>
  <si>
    <t>K06.65</t>
  </si>
  <si>
    <t>Ügyelet</t>
  </si>
  <si>
    <t>K06.66</t>
  </si>
  <si>
    <t>K06.66/A</t>
  </si>
  <si>
    <t>K06.67</t>
  </si>
  <si>
    <t>K06.67/A</t>
  </si>
  <si>
    <t>K06.68</t>
  </si>
  <si>
    <t>K06.69</t>
  </si>
  <si>
    <t>K06.69/A</t>
  </si>
  <si>
    <t>K06.69/B</t>
  </si>
  <si>
    <t>K06.70</t>
  </si>
  <si>
    <t>K06.71</t>
  </si>
  <si>
    <t>K06.71/A</t>
  </si>
  <si>
    <t>K06.72</t>
  </si>
  <si>
    <t>K06.74</t>
  </si>
  <si>
    <t>K06.103</t>
  </si>
  <si>
    <t>K06.39</t>
  </si>
  <si>
    <t>K06.108</t>
  </si>
  <si>
    <t>K06.105</t>
  </si>
  <si>
    <t>K06.105/A</t>
  </si>
  <si>
    <t>K06.91</t>
  </si>
  <si>
    <t>K06.106</t>
  </si>
  <si>
    <t>K06.106/A</t>
  </si>
  <si>
    <t>K06.107</t>
  </si>
  <si>
    <t>K06.107/A</t>
  </si>
  <si>
    <t>K06.104</t>
  </si>
  <si>
    <t>K06.11</t>
  </si>
  <si>
    <t>K06.12</t>
  </si>
  <si>
    <t>K06.12/A</t>
  </si>
  <si>
    <t>K06.13</t>
  </si>
  <si>
    <t>K06.102</t>
  </si>
  <si>
    <t>K06.14</t>
  </si>
  <si>
    <t>K06.15</t>
  </si>
  <si>
    <t>K06.16</t>
  </si>
  <si>
    <t>K06.17</t>
  </si>
  <si>
    <t>K06.18</t>
  </si>
  <si>
    <t>K06.76</t>
  </si>
  <si>
    <t>K06.77</t>
  </si>
  <si>
    <t>Műtő 7</t>
  </si>
  <si>
    <t>K06.78</t>
  </si>
  <si>
    <t>K06.79</t>
  </si>
  <si>
    <t>K06.80</t>
  </si>
  <si>
    <t>K06.81</t>
  </si>
  <si>
    <t>Műtő 8</t>
  </si>
  <si>
    <t>K06.82</t>
  </si>
  <si>
    <t>K06.75</t>
  </si>
  <si>
    <t>K06.83</t>
  </si>
  <si>
    <t>K06.109</t>
  </si>
  <si>
    <t>K06.84</t>
  </si>
  <si>
    <t>K06.85</t>
  </si>
  <si>
    <t>K06.86</t>
  </si>
  <si>
    <t>Műtő 9</t>
  </si>
  <si>
    <t>K06.87</t>
  </si>
  <si>
    <t>K06.88</t>
  </si>
  <si>
    <t>K06.89</t>
  </si>
  <si>
    <t>K06.90</t>
  </si>
  <si>
    <t>Műtő 10</t>
  </si>
  <si>
    <t>K06.92</t>
  </si>
  <si>
    <t>K06.93</t>
  </si>
  <si>
    <t>K06.94</t>
  </si>
  <si>
    <t>Műtő 11</t>
  </si>
  <si>
    <t>K06.95</t>
  </si>
  <si>
    <t>K06.96</t>
  </si>
  <si>
    <t>K06.97</t>
  </si>
  <si>
    <t>K06.98</t>
  </si>
  <si>
    <t>Műtő 12</t>
  </si>
  <si>
    <t>K06.110</t>
  </si>
  <si>
    <t>K06.111</t>
  </si>
  <si>
    <t>K06.99</t>
  </si>
  <si>
    <t>K06.100</t>
  </si>
  <si>
    <t>K06.113</t>
  </si>
  <si>
    <t>Gép-műszer raktár</t>
  </si>
  <si>
    <t>Központi műtők</t>
  </si>
  <si>
    <t>K01.74</t>
  </si>
  <si>
    <t>Sekrestye</t>
  </si>
  <si>
    <t>R-0-26</t>
  </si>
  <si>
    <t>Kápolna</t>
  </si>
  <si>
    <t>műkő</t>
  </si>
  <si>
    <t>K01.145</t>
  </si>
  <si>
    <t>R-1-20</t>
  </si>
  <si>
    <t>Fogyasztói tér</t>
  </si>
  <si>
    <t>R-1-18</t>
  </si>
  <si>
    <t xml:space="preserve">Összesen: </t>
  </si>
  <si>
    <t>havi 1x teljes körű nagytakarítás</t>
  </si>
  <si>
    <t>teljes körű nagytakarítás havi 1x</t>
  </si>
  <si>
    <t xml:space="preserve"> fő 2 nuk.med. összes</t>
  </si>
  <si>
    <t>K00.05</t>
  </si>
  <si>
    <t>K00.04</t>
  </si>
  <si>
    <t>K00.03</t>
  </si>
  <si>
    <t>K00.79</t>
  </si>
  <si>
    <t>K00.01</t>
  </si>
  <si>
    <t>Felvonó előtér</t>
  </si>
  <si>
    <t>K00.02</t>
  </si>
  <si>
    <t>K00.10</t>
  </si>
  <si>
    <t>K00.23</t>
  </si>
  <si>
    <t>K00.06</t>
  </si>
  <si>
    <t>K00.07</t>
  </si>
  <si>
    <t>K00.08</t>
  </si>
  <si>
    <t>K00.66</t>
  </si>
  <si>
    <t>K01.69</t>
  </si>
  <si>
    <t>Közös helyiségek - Közlekedő</t>
  </si>
  <si>
    <t>K01.68</t>
  </si>
  <si>
    <t>K01.11</t>
  </si>
  <si>
    <t>K01.12</t>
  </si>
  <si>
    <t>K01.01</t>
  </si>
  <si>
    <t>K01.02</t>
  </si>
  <si>
    <t>K01.03</t>
  </si>
  <si>
    <t>K01.23</t>
  </si>
  <si>
    <t>Lépcsőház II.</t>
  </si>
  <si>
    <t>K01.21</t>
  </si>
  <si>
    <t>Lépcsőház I.</t>
  </si>
  <si>
    <t>K01.15</t>
  </si>
  <si>
    <t>K01.14</t>
  </si>
  <si>
    <t>Rakodó</t>
  </si>
  <si>
    <t>K01.109</t>
  </si>
  <si>
    <t>R-0-01</t>
  </si>
  <si>
    <t>F.104</t>
  </si>
  <si>
    <t>Előtér ("A" torony)</t>
  </si>
  <si>
    <t>F.105</t>
  </si>
  <si>
    <t>Előtér ("B" torony)</t>
  </si>
  <si>
    <t>F.107</t>
  </si>
  <si>
    <t>Előtér ("C" torony)</t>
  </si>
  <si>
    <t>K02.07</t>
  </si>
  <si>
    <t>K02.06</t>
  </si>
  <si>
    <t>K02.166</t>
  </si>
  <si>
    <t>K02.01</t>
  </si>
  <si>
    <t>K02.02</t>
  </si>
  <si>
    <t>R-1-35</t>
  </si>
  <si>
    <t>R-1-34</t>
  </si>
  <si>
    <t>K02.13</t>
  </si>
  <si>
    <t>K02.25</t>
  </si>
  <si>
    <t>2. sz. Lépcsőház</t>
  </si>
  <si>
    <t>K02.26</t>
  </si>
  <si>
    <t>1. sz. Lépcsőház</t>
  </si>
  <si>
    <t>K02.14</t>
  </si>
  <si>
    <t>K02.21</t>
  </si>
  <si>
    <t>K02.23</t>
  </si>
  <si>
    <t>K02.161</t>
  </si>
  <si>
    <t>K02.167</t>
  </si>
  <si>
    <t>R-1-33</t>
  </si>
  <si>
    <t>R-1-07</t>
  </si>
  <si>
    <t>1.37</t>
  </si>
  <si>
    <t>R-1-01</t>
  </si>
  <si>
    <t>F.101</t>
  </si>
  <si>
    <t>F.102</t>
  </si>
  <si>
    <t>F.103</t>
  </si>
  <si>
    <t>F.201</t>
  </si>
  <si>
    <t>F.202</t>
  </si>
  <si>
    <t>Belső üveg-felületek
(m2)</t>
  </si>
  <si>
    <t>K03.01</t>
  </si>
  <si>
    <t>Előtér- Látogatói tér</t>
  </si>
  <si>
    <t>K03.17</t>
  </si>
  <si>
    <t>K03.16</t>
  </si>
  <si>
    <t>K03.07</t>
  </si>
  <si>
    <t>K03.15</t>
  </si>
  <si>
    <t>K04.01</t>
  </si>
  <si>
    <t>Előtér-látogatói tér</t>
  </si>
  <si>
    <t>K04.15</t>
  </si>
  <si>
    <t>K04.14</t>
  </si>
  <si>
    <t>K04.07</t>
  </si>
  <si>
    <t>K04.13</t>
  </si>
  <si>
    <t>K05.02</t>
  </si>
  <si>
    <t>K05.114</t>
  </si>
  <si>
    <t>K05.05</t>
  </si>
  <si>
    <t>K05.01</t>
  </si>
  <si>
    <t>K05.14</t>
  </si>
  <si>
    <t>K05.13</t>
  </si>
  <si>
    <t>K05.12</t>
  </si>
  <si>
    <t>K05.62</t>
  </si>
  <si>
    <t>K06.02</t>
  </si>
  <si>
    <t>K06.01</t>
  </si>
  <si>
    <t>K06.112</t>
  </si>
  <si>
    <t>K06.21</t>
  </si>
  <si>
    <t>K06.19</t>
  </si>
  <si>
    <t>VI.</t>
  </si>
  <si>
    <t>K07.18</t>
  </si>
  <si>
    <t>Lépcső</t>
  </si>
  <si>
    <t>K07.19</t>
  </si>
  <si>
    <t>K07.01</t>
  </si>
  <si>
    <t>K07.02</t>
  </si>
  <si>
    <t>K07.24</t>
  </si>
  <si>
    <t>VII.</t>
  </si>
  <si>
    <t>K08.01</t>
  </si>
  <si>
    <t>K08.02</t>
  </si>
  <si>
    <t>Fogadó tér</t>
  </si>
  <si>
    <t>Mindösszesen:</t>
  </si>
  <si>
    <t>Pince összesen:</t>
  </si>
  <si>
    <t>Földszint összesen:</t>
  </si>
  <si>
    <t>I. emelet összesen:</t>
  </si>
  <si>
    <t>VII. emelet összesen:</t>
  </si>
  <si>
    <t>VI. emelet összesen:</t>
  </si>
  <si>
    <t>V. emelet összesen:</t>
  </si>
  <si>
    <t>IV. emelet összesen:</t>
  </si>
  <si>
    <t>III. emelet összesen:</t>
  </si>
  <si>
    <t>II. emelet összesen: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</si>
  <si>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</si>
  <si>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Padló-burkolat</t>
  </si>
  <si>
    <t>K00.21/B</t>
  </si>
  <si>
    <t>Szúnyog-háló</t>
  </si>
  <si>
    <t>K00.36</t>
  </si>
  <si>
    <t>Betegruha raktár</t>
  </si>
  <si>
    <t>K00.70</t>
  </si>
  <si>
    <t>K00.65</t>
  </si>
  <si>
    <t>K00.21</t>
  </si>
  <si>
    <t>K00.77</t>
  </si>
  <si>
    <t>K00.19</t>
  </si>
  <si>
    <t>K00.34</t>
  </si>
  <si>
    <t>K00.35</t>
  </si>
  <si>
    <t>K00.67</t>
  </si>
  <si>
    <t>Decontamináló raktár</t>
  </si>
  <si>
    <t>K00.69</t>
  </si>
  <si>
    <t>Elektromos központ</t>
  </si>
  <si>
    <t>K01.77</t>
  </si>
  <si>
    <t>R-0-03</t>
  </si>
  <si>
    <t>Ruhatár</t>
  </si>
  <si>
    <t>K02.12</t>
  </si>
  <si>
    <t>K03.02/A</t>
  </si>
  <si>
    <t>K04.02/A</t>
  </si>
  <si>
    <t>K05.114/A</t>
  </si>
  <si>
    <t>K06.20</t>
  </si>
  <si>
    <t>K07.21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</si>
  <si>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</si>
  <si>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Közös helyiségek - Raktárak</t>
  </si>
  <si>
    <t>Dedikált takarítói igény *</t>
  </si>
  <si>
    <t>*</t>
  </si>
  <si>
    <t>K00.26</t>
  </si>
  <si>
    <t>K00.59</t>
  </si>
  <si>
    <t>Gépészet (Veolia)</t>
  </si>
  <si>
    <t>K00.60</t>
  </si>
  <si>
    <t>Vízköd központ (HiFog)</t>
  </si>
  <si>
    <t>K00.61</t>
  </si>
  <si>
    <t>Sűrített levegő közp.</t>
  </si>
  <si>
    <t>K00.62</t>
  </si>
  <si>
    <t>K01.66</t>
  </si>
  <si>
    <t>Tartalék oxigén tároló</t>
  </si>
  <si>
    <t>K01.67</t>
  </si>
  <si>
    <t>K01.108</t>
  </si>
  <si>
    <t>K01.158</t>
  </si>
  <si>
    <t>Csőposta központ</t>
  </si>
  <si>
    <t>R-0-02</t>
  </si>
  <si>
    <t>Gépház</t>
  </si>
  <si>
    <t>R-0-10</t>
  </si>
  <si>
    <t>Hőközpont</t>
  </si>
  <si>
    <t>R-0-20</t>
  </si>
  <si>
    <t>Szellőző gépház</t>
  </si>
  <si>
    <t>R-3-12</t>
  </si>
  <si>
    <t>Légtechnika</t>
  </si>
  <si>
    <t>K07.23</t>
  </si>
  <si>
    <t>Gépészeti tér</t>
  </si>
  <si>
    <t>K07.17</t>
  </si>
  <si>
    <t>K07.26</t>
  </si>
  <si>
    <t>K07.25</t>
  </si>
  <si>
    <t>K07.16</t>
  </si>
  <si>
    <t>K07.27</t>
  </si>
  <si>
    <t>Közös helyiségek - Gépészet</t>
  </si>
  <si>
    <t>K00.27</t>
  </si>
  <si>
    <t>K00.27/A</t>
  </si>
  <si>
    <t>K00.28</t>
  </si>
  <si>
    <t>K00.28/A</t>
  </si>
  <si>
    <t>K00.29</t>
  </si>
  <si>
    <t>K00.29/A</t>
  </si>
  <si>
    <t>K00.30</t>
  </si>
  <si>
    <t>K00.30/A</t>
  </si>
  <si>
    <t>K00.31</t>
  </si>
  <si>
    <t>K00.31/A</t>
  </si>
  <si>
    <t>K00.32</t>
  </si>
  <si>
    <t>K00.32/A</t>
  </si>
  <si>
    <t>K00.51</t>
  </si>
  <si>
    <t>K00.51/A</t>
  </si>
  <si>
    <t>K00.52</t>
  </si>
  <si>
    <t>K00.52/A</t>
  </si>
  <si>
    <t>K00.54</t>
  </si>
  <si>
    <t>Akadálymentes ölt.</t>
  </si>
  <si>
    <t>K00.54/A</t>
  </si>
  <si>
    <t>K00.24</t>
  </si>
  <si>
    <t>K00.24/A</t>
  </si>
  <si>
    <t>K00.24/B</t>
  </si>
  <si>
    <t>K00.24/C</t>
  </si>
  <si>
    <t>K00.53</t>
  </si>
  <si>
    <t>K00.55</t>
  </si>
  <si>
    <t>K00.55/A</t>
  </si>
  <si>
    <t>K00.56</t>
  </si>
  <si>
    <t>K00.56/A</t>
  </si>
  <si>
    <t>K07.03</t>
  </si>
  <si>
    <t>K07.03/A</t>
  </si>
  <si>
    <t>K07.04</t>
  </si>
  <si>
    <t>K07.05</t>
  </si>
  <si>
    <t>K07.06</t>
  </si>
  <si>
    <t>K07.06/A</t>
  </si>
  <si>
    <t>K07.07</t>
  </si>
  <si>
    <t>K07.08</t>
  </si>
  <si>
    <t>K07.09</t>
  </si>
  <si>
    <t>K07.09/A</t>
  </si>
  <si>
    <t>K07.10</t>
  </si>
  <si>
    <t>K07.11</t>
  </si>
  <si>
    <t>K07.12</t>
  </si>
  <si>
    <t>K07.12/A</t>
  </si>
  <si>
    <t>K07.13</t>
  </si>
  <si>
    <t>K07.14</t>
  </si>
  <si>
    <t>K00.78</t>
  </si>
  <si>
    <t>Tak. Szer</t>
  </si>
  <si>
    <t>K00.37</t>
  </si>
  <si>
    <t>K00.37/A</t>
  </si>
  <si>
    <t>K00.37/B</t>
  </si>
  <si>
    <t>K00.15</t>
  </si>
  <si>
    <t>Központi takarítógép r.</t>
  </si>
  <si>
    <t>K00.22</t>
  </si>
  <si>
    <t>Takarítógép javító</t>
  </si>
  <si>
    <t>K01.63</t>
  </si>
  <si>
    <t>Közös helyiségek - Takarítás</t>
  </si>
  <si>
    <t>K00.38</t>
  </si>
  <si>
    <t>K00.75</t>
  </si>
  <si>
    <t>K00.73</t>
  </si>
  <si>
    <t>UPS helyiség</t>
  </si>
  <si>
    <t>K00.68</t>
  </si>
  <si>
    <t>K01.105</t>
  </si>
  <si>
    <t>Trafó</t>
  </si>
  <si>
    <t>K01.106</t>
  </si>
  <si>
    <t>K01.107</t>
  </si>
  <si>
    <t>K02.82</t>
  </si>
  <si>
    <t>Elektromos kapcsoló</t>
  </si>
  <si>
    <t>K02.139</t>
  </si>
  <si>
    <t>K03.14</t>
  </si>
  <si>
    <t>Elektromos tér</t>
  </si>
  <si>
    <t>K04.12/B</t>
  </si>
  <si>
    <t>K07.15</t>
  </si>
  <si>
    <t>Gépészet (villamosság)</t>
  </si>
  <si>
    <t>K07.22</t>
  </si>
  <si>
    <t>K01.81</t>
  </si>
  <si>
    <t>K01.82</t>
  </si>
  <si>
    <t>K01.82/A</t>
  </si>
  <si>
    <t>K01.80</t>
  </si>
  <si>
    <t>K01.80/A</t>
  </si>
  <si>
    <t>K01.80/B</t>
  </si>
  <si>
    <t>K01.80/C</t>
  </si>
  <si>
    <t>K02.84</t>
  </si>
  <si>
    <t>Akadálymentes WC</t>
  </si>
  <si>
    <t>K02.80</t>
  </si>
  <si>
    <t>K02.81</t>
  </si>
  <si>
    <t>K02.81/A</t>
  </si>
  <si>
    <t>K02.81/B</t>
  </si>
  <si>
    <t>K02.81/C</t>
  </si>
  <si>
    <t>R-1-15</t>
  </si>
  <si>
    <t>R-1-14</t>
  </si>
  <si>
    <t>R-1-13</t>
  </si>
  <si>
    <t>R-1-12</t>
  </si>
  <si>
    <t>R-1-11</t>
  </si>
  <si>
    <t>R-1-10</t>
  </si>
  <si>
    <t>R-1-09</t>
  </si>
  <si>
    <t>R-1-08</t>
  </si>
  <si>
    <t>R-1-06</t>
  </si>
  <si>
    <t>K02.137</t>
  </si>
  <si>
    <t>K02.138</t>
  </si>
  <si>
    <t>K02.138/A</t>
  </si>
  <si>
    <t>K02.138/B</t>
  </si>
  <si>
    <t>K03.67</t>
  </si>
  <si>
    <t>K03.66</t>
  </si>
  <si>
    <t>K03.66/A</t>
  </si>
  <si>
    <t>K03.62/A</t>
  </si>
  <si>
    <t>K03.62/B</t>
  </si>
  <si>
    <t>K03.62/C</t>
  </si>
  <si>
    <t>K03.62/D</t>
  </si>
  <si>
    <t>K03.61</t>
  </si>
  <si>
    <t>K03.59</t>
  </si>
  <si>
    <t>K03.62</t>
  </si>
  <si>
    <t>K04.54</t>
  </si>
  <si>
    <t>K04.55</t>
  </si>
  <si>
    <t>K04.55/A</t>
  </si>
  <si>
    <t>K04.56</t>
  </si>
  <si>
    <t>K04.57</t>
  </si>
  <si>
    <t>K04.57/A</t>
  </si>
  <si>
    <t>K04.57/B</t>
  </si>
  <si>
    <t>K04.57/C</t>
  </si>
  <si>
    <t>K04.57/D</t>
  </si>
  <si>
    <t>K04.51</t>
  </si>
  <si>
    <t>K05.61</t>
  </si>
  <si>
    <t>K05.67</t>
  </si>
  <si>
    <t>K05.67/A</t>
  </si>
  <si>
    <t>Közös helyiségek - Villamosság</t>
  </si>
  <si>
    <t>Közös helyiségek - Vizesblokk</t>
  </si>
  <si>
    <t>K00.63</t>
  </si>
  <si>
    <t>Veszélyes hulladék</t>
  </si>
  <si>
    <t>K00.64</t>
  </si>
  <si>
    <t>Pince összesen</t>
  </si>
  <si>
    <t>havi teljes körű nagytakarítás</t>
  </si>
  <si>
    <t>Közös helyiségek - Hulladék</t>
  </si>
  <si>
    <t>K01.79</t>
  </si>
  <si>
    <t>K01.156</t>
  </si>
  <si>
    <t>K01.157</t>
  </si>
  <si>
    <t>K01.78</t>
  </si>
  <si>
    <t>Épületfelügyelet</t>
  </si>
  <si>
    <t xml:space="preserve">R-1-05 </t>
  </si>
  <si>
    <t>R-1-17</t>
  </si>
  <si>
    <t>Betegirányító</t>
  </si>
  <si>
    <t>R-1-16</t>
  </si>
  <si>
    <t xml:space="preserve">R-1-04 </t>
  </si>
  <si>
    <t>Gyermek megőrző (bizt.)</t>
  </si>
  <si>
    <t>R-1-02</t>
  </si>
  <si>
    <t>Biztonsági őrség</t>
  </si>
  <si>
    <t>K03.65</t>
  </si>
  <si>
    <t>K03.64</t>
  </si>
  <si>
    <t>K03.63</t>
  </si>
  <si>
    <t>K03.60</t>
  </si>
  <si>
    <t>K04.58</t>
  </si>
  <si>
    <t>K04.59</t>
  </si>
  <si>
    <t>K04.60</t>
  </si>
  <si>
    <t>K04.53</t>
  </si>
  <si>
    <t>K05.53</t>
  </si>
  <si>
    <t>K07.20</t>
  </si>
  <si>
    <t>Heliport személyzet</t>
  </si>
  <si>
    <t>K07.20/A</t>
  </si>
  <si>
    <t>Közös helyiségek - Egyéb</t>
  </si>
  <si>
    <t>rm.</t>
  </si>
  <si>
    <t>Egyéb megjegyzések:</t>
  </si>
  <si>
    <t>évente 2x nagytakarítás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</si>
  <si>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</si>
  <si>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</si>
  <si>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</si>
  <si>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</si>
  <si>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</si>
  <si>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</si>
  <si>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</si>
  <si>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</si>
  <si>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</si>
  <si>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</si>
  <si>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</si>
  <si>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</si>
  <si>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</si>
  <si>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</si>
  <si>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</si>
  <si>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</si>
  <si>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</si>
  <si>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</si>
  <si>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</si>
  <si>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</si>
  <si>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</si>
  <si>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</si>
  <si>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</si>
  <si>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</si>
  <si>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K-Közlekedő</t>
  </si>
  <si>
    <t>Megnevezés</t>
  </si>
  <si>
    <t xml:space="preserve">Közös helyiségek (ktgviselőhöz nem kapcsolható) </t>
  </si>
  <si>
    <t>Higiénés kategóriák szerint:</t>
  </si>
  <si>
    <t xml:space="preserve">A1 </t>
  </si>
  <si>
    <t>Egyéb megjegyzés:</t>
  </si>
  <si>
    <r>
      <t>Szennyesruha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kezelő előtér</t>
    </r>
  </si>
  <si>
    <t>K-Raktárak</t>
  </si>
  <si>
    <t>K-Gépészet</t>
  </si>
  <si>
    <t>K-Öltözők</t>
  </si>
  <si>
    <t>K-Takarítás</t>
  </si>
  <si>
    <t>K-Villamosság</t>
  </si>
  <si>
    <t>K-Vizesblokk</t>
  </si>
  <si>
    <t>K-Hulladék</t>
  </si>
  <si>
    <t xml:space="preserve">K-Egyéb </t>
  </si>
  <si>
    <t>Külső Klinikai Tömb Gazd-üzemelt. Ig-ság</t>
  </si>
  <si>
    <t>Sürgősségi Betegellátó (SBO)</t>
  </si>
  <si>
    <t>Egységárak:</t>
  </si>
  <si>
    <t xml:space="preserve">   Részösszesen (szervezeti egységek):</t>
  </si>
  <si>
    <t xml:space="preserve">   Részösszesen (közös helyiségek):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</si>
  <si>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ell.</t>
    </r>
  </si>
  <si>
    <t>Ft</t>
  </si>
  <si>
    <t>Hétvégén is</t>
  </si>
  <si>
    <t>aránya</t>
  </si>
  <si>
    <t>hétköznapok:</t>
  </si>
  <si>
    <t>összes nap:</t>
  </si>
  <si>
    <t>szorzó:</t>
  </si>
  <si>
    <t>súlyozott átlag:</t>
  </si>
  <si>
    <t>nap/hónap</t>
  </si>
  <si>
    <t>nap</t>
  </si>
  <si>
    <t>április-december:</t>
  </si>
  <si>
    <t>aránya/év</t>
  </si>
  <si>
    <t>Éves nettó díj:</t>
  </si>
  <si>
    <t>4 év nettó díja:</t>
  </si>
  <si>
    <t>Éves bruttó díj:</t>
  </si>
  <si>
    <t>4 év bruttó díja:</t>
  </si>
  <si>
    <r>
      <t>egységár   Ft/m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/nap</t>
    </r>
  </si>
  <si>
    <t>ár                                     Ft/hó</t>
  </si>
  <si>
    <r>
      <t>Átlagár    Ft/m</t>
    </r>
    <r>
      <rPr>
        <b/>
        <vertAlign val="superscript"/>
        <sz val="11"/>
        <color theme="0"/>
        <rFont val="Calibri"/>
        <family val="2"/>
        <charset val="238"/>
        <scheme val="minor"/>
      </rPr>
      <t>2</t>
    </r>
    <r>
      <rPr>
        <b/>
        <sz val="11"/>
        <color theme="0"/>
        <rFont val="Calibri"/>
        <family val="2"/>
        <charset val="238"/>
        <scheme val="minor"/>
      </rPr>
      <t>/  nap</t>
    </r>
  </si>
  <si>
    <t>Havi nettó díjak                 higiénés                       kategóriánként:</t>
  </si>
  <si>
    <t>Központi Ágymosó</t>
  </si>
  <si>
    <t>Központi Gyógyszerellátó és -raktár</t>
  </si>
  <si>
    <t>Központi Radiológia</t>
  </si>
  <si>
    <t>Központi Sterilizáló</t>
  </si>
  <si>
    <t>Egyéb (kápolna, üzlet, büfé)</t>
  </si>
  <si>
    <t>Sürgősségi beavatkozó</t>
  </si>
  <si>
    <t>KBE ÉPÜLET</t>
  </si>
  <si>
    <t>Nyithatóság</t>
  </si>
  <si>
    <t>Nyílászáró felület (m2)</t>
  </si>
  <si>
    <t>Árnyékoló (m2)</t>
  </si>
  <si>
    <t>Fszt.</t>
  </si>
  <si>
    <t>H31</t>
  </si>
  <si>
    <t>Nyugati homlokzat</t>
  </si>
  <si>
    <t>igen</t>
  </si>
  <si>
    <t>nincs</t>
  </si>
  <si>
    <t>ablak takarítás évente 2x, külső-belső felületét egyaránt</t>
  </si>
  <si>
    <t>H40</t>
  </si>
  <si>
    <t>Déli homlokzat</t>
  </si>
  <si>
    <t>H20</t>
  </si>
  <si>
    <t>H2</t>
  </si>
  <si>
    <t>H3</t>
  </si>
  <si>
    <t>H10</t>
  </si>
  <si>
    <t>Északi homlokzat</t>
  </si>
  <si>
    <t>H9</t>
  </si>
  <si>
    <t>H4</t>
  </si>
  <si>
    <t>Keleti homlokzat</t>
  </si>
  <si>
    <t>H5</t>
  </si>
  <si>
    <t>H6</t>
  </si>
  <si>
    <t>H7</t>
  </si>
  <si>
    <t>H8</t>
  </si>
  <si>
    <t>L29</t>
  </si>
  <si>
    <t>L16</t>
  </si>
  <si>
    <t>H30</t>
  </si>
  <si>
    <t>1. em.</t>
  </si>
  <si>
    <t>H21</t>
  </si>
  <si>
    <t>HÜ14</t>
  </si>
  <si>
    <t>HÜ10</t>
  </si>
  <si>
    <t>HÜ4</t>
  </si>
  <si>
    <t>HÜ12</t>
  </si>
  <si>
    <t>HÜ3</t>
  </si>
  <si>
    <t>HÜ15F</t>
  </si>
  <si>
    <t>HÜ8F</t>
  </si>
  <si>
    <t>HÜ16F</t>
  </si>
  <si>
    <t>HÜ5</t>
  </si>
  <si>
    <t>HÜ11</t>
  </si>
  <si>
    <t>HÜ13</t>
  </si>
  <si>
    <t>H4F</t>
  </si>
  <si>
    <t>H12</t>
  </si>
  <si>
    <t>H11F</t>
  </si>
  <si>
    <t>HÜ17</t>
  </si>
  <si>
    <t>HÜ6</t>
  </si>
  <si>
    <t>HÜ18F</t>
  </si>
  <si>
    <t>HÜ7F</t>
  </si>
  <si>
    <t>2. em.</t>
  </si>
  <si>
    <t>H25</t>
  </si>
  <si>
    <t>H13</t>
  </si>
  <si>
    <t>H14</t>
  </si>
  <si>
    <t>H18</t>
  </si>
  <si>
    <t>H17</t>
  </si>
  <si>
    <t>H24</t>
  </si>
  <si>
    <t>3. em.</t>
  </si>
  <si>
    <t>H41</t>
  </si>
  <si>
    <t>H25F</t>
  </si>
  <si>
    <t>4. em.</t>
  </si>
  <si>
    <t>H26</t>
  </si>
  <si>
    <t>alpin</t>
  </si>
  <si>
    <t>H27</t>
  </si>
  <si>
    <t>H28</t>
  </si>
  <si>
    <t>H3F</t>
  </si>
  <si>
    <t>H22</t>
  </si>
  <si>
    <t>H29</t>
  </si>
  <si>
    <t>H16</t>
  </si>
  <si>
    <t>H32</t>
  </si>
  <si>
    <t>5. em.</t>
  </si>
  <si>
    <t>HÜ19</t>
  </si>
  <si>
    <t>HÜ20</t>
  </si>
  <si>
    <t>HÜ21</t>
  </si>
  <si>
    <t>HÜ23</t>
  </si>
  <si>
    <t>HÜ22</t>
  </si>
  <si>
    <t>H34</t>
  </si>
  <si>
    <t>H35</t>
  </si>
  <si>
    <t>H33</t>
  </si>
  <si>
    <t>6. em.</t>
  </si>
  <si>
    <t>H42F</t>
  </si>
  <si>
    <t>7. em.</t>
  </si>
  <si>
    <t>H37F</t>
  </si>
  <si>
    <t>Méretek                           (cm)</t>
  </si>
  <si>
    <t>Kategóriák együtt/ablakok</t>
  </si>
  <si>
    <t>Ebből:</t>
  </si>
  <si>
    <t>Alpin technológiával:</t>
  </si>
  <si>
    <t>Hagyományos technológiával:</t>
  </si>
  <si>
    <t>Kategóriák:</t>
  </si>
  <si>
    <t>A falfelületre, ajtófelületre vonatkozó adatok tájékoztató jellegűek, kisebb eltérések lehetségesek!</t>
  </si>
  <si>
    <t>Az egyéb helyiségek között szereplő üzlethelyiségeket a bérbevevő takarítja, de a fogyasztói tér takarítása a szolgáltató feladata.</t>
  </si>
  <si>
    <t>Általános leírás és megjegyzések</t>
  </si>
  <si>
    <t>jan.</t>
  </si>
  <si>
    <t>febr.</t>
  </si>
  <si>
    <t>márc.</t>
  </si>
  <si>
    <t>ápr.</t>
  </si>
  <si>
    <t>máj.</t>
  </si>
  <si>
    <t>júni.</t>
  </si>
  <si>
    <t>júli.</t>
  </si>
  <si>
    <t>aug.</t>
  </si>
  <si>
    <t>okt.</t>
  </si>
  <si>
    <t>nov.</t>
  </si>
  <si>
    <t>dec.</t>
  </si>
  <si>
    <t>szept.</t>
  </si>
  <si>
    <t>hétvégén is, átlag</t>
  </si>
  <si>
    <t>ünnepnapok</t>
  </si>
  <si>
    <t>hétkönapok száma</t>
  </si>
  <si>
    <t>átlag héköznap/hó</t>
  </si>
  <si>
    <t>Megjegyzés: A villamossági helyiségek csak a karbantartók felügyeletével takaríthatók. A trafó helyiségekbe nem léphet be a takarító személyzet.</t>
  </si>
  <si>
    <t>Megjegyzés: A gépészeti helyiségek csak a karbantartók felügyeletével takaríthatók.</t>
  </si>
  <si>
    <t>A gépészeti, villamossági helyiségek ("K-Gépészet" és "K-Villamosság" fül alatt) csak a karbantartók felügyeletével takaríthatók, havonta egyszer. A trafó helyiségekbe nem léphet be a takarító személyzet.</t>
  </si>
  <si>
    <t>Közös helyiségek - Öltözők (Pince)</t>
  </si>
  <si>
    <t>Működési napok/hó (átlag)</t>
  </si>
  <si>
    <t>súlyozás</t>
  </si>
  <si>
    <t>Megjegyzés: A kiíró a szolgáltató rendelkezésére bocsát takarító szertárakat, öltözőt, zuhanyt, WC-t stb. Ezek takarítási költségei a szolgáltatót terhelik, azzal, hogy az épület működési jellege miatt ezek rendszeres tisztántartása kötelező, melyet a kiíró ellenőrizni fog.</t>
  </si>
  <si>
    <t>Külső Klinikai Tömb Gazdasági-üzemeltetési Igazgatóság</t>
  </si>
  <si>
    <t>Takarítás munkaszüneti nap, ünnepnap</t>
  </si>
  <si>
    <t>Dedikált takarító igény összesen:</t>
  </si>
  <si>
    <t>0 fő</t>
  </si>
  <si>
    <t>Ügyeletes takarító igény összesen:</t>
  </si>
  <si>
    <t>1 fő</t>
  </si>
  <si>
    <t>Délelőttös műszak:</t>
  </si>
  <si>
    <t xml:space="preserve">Délutános műszak: </t>
  </si>
  <si>
    <t xml:space="preserve">Takarítás ideje: </t>
  </si>
  <si>
    <t>5:00-7:00</t>
  </si>
  <si>
    <t>15:00-17:00</t>
  </si>
  <si>
    <t>A délutános műszakban csak a felmosásra és az ágymosó helyiségeire terjedjen ki a takarítás.</t>
  </si>
  <si>
    <t>Az SBO 0-24 órában dolgozik.</t>
  </si>
  <si>
    <t>16:00-18:00</t>
  </si>
  <si>
    <t>Az ügyeletes takarító folyamatosan (0-24 óráig) álljon rendelkezésre az SBO-hoz dedikáltan (egyszerre 1 fő).</t>
  </si>
  <si>
    <t>6:00-7:00</t>
  </si>
  <si>
    <t>19:00-20:00</t>
  </si>
  <si>
    <t>Takarítás:</t>
  </si>
  <si>
    <t>5:30-7:30</t>
  </si>
  <si>
    <t>7:00-8:00</t>
  </si>
  <si>
    <t>5:00-13:00</t>
  </si>
  <si>
    <t>13:00-20:00</t>
  </si>
  <si>
    <t>3 fő</t>
  </si>
  <si>
    <t>5:30-7:00</t>
  </si>
  <si>
    <t xml:space="preserve">Dedikált takarító igény összesen: (1 fő) A fent megjelölt időpontban ugyanaz a személy takarítson. </t>
  </si>
  <si>
    <t>6:00-8:00</t>
  </si>
  <si>
    <t>Naponta 3-szor szükséges kitakarítani.</t>
  </si>
  <si>
    <t>Takarítás ideje:</t>
  </si>
  <si>
    <t>Taskarítás ideje:</t>
  </si>
  <si>
    <t>A központi labor 0-24 órában üzemel.</t>
  </si>
  <si>
    <t>Ügyeletes takarító igény összesen: A takarítás idejét kivéve egész nap legyen elérhető 1 fő.</t>
  </si>
  <si>
    <t>3 havonta teljes körű nagytakarítás</t>
  </si>
  <si>
    <t>Takarítás ideje (a megjelölt időszakokon belül bármikor) :</t>
  </si>
  <si>
    <t>Takarítás ideje (a megjelölt időszakon belül bármikor):</t>
  </si>
  <si>
    <t>9:00-16:00</t>
  </si>
  <si>
    <t>Takarítás ideje (a megjelölt időszakon belül, a karbantartókkal egyeztetve):</t>
  </si>
  <si>
    <t>Ügyeletes takarító igény összesen: 0 fő.</t>
  </si>
  <si>
    <t>Szombati napokon</t>
  </si>
  <si>
    <t>Vasárnap és ünnepnap</t>
  </si>
  <si>
    <t>Az Anesthesiológia 0-24 órában dolgozik.</t>
  </si>
  <si>
    <t>A Traumatológia 0-24 órában dolgozik.</t>
  </si>
  <si>
    <t>A Trauma Intenzív 0-24 órában dolgozik.</t>
  </si>
  <si>
    <t xml:space="preserve"> Takarítás munkaszüneti nap, ünnepnap</t>
  </si>
  <si>
    <t>Dedikált takarító igény összesen: 0 fő</t>
  </si>
  <si>
    <t>Dedikált takarító igény: 0 fő</t>
  </si>
  <si>
    <t>18:00-20:00</t>
  </si>
  <si>
    <t>Délutános műszak (csak a Konzíliumi szobák):</t>
  </si>
  <si>
    <t>normál menetben:</t>
  </si>
  <si>
    <t>állagmegóvóval:</t>
  </si>
  <si>
    <t>eltérés:</t>
  </si>
  <si>
    <r>
      <t xml:space="preserve">Központi Betegellátó és II. sz. Női Klinika takarítási igények - összesítő tábla - </t>
    </r>
    <r>
      <rPr>
        <b/>
        <sz val="14"/>
        <color theme="5" tint="-0.249977111117893"/>
        <rFont val="Calibri"/>
        <family val="2"/>
        <charset val="238"/>
        <scheme val="minor"/>
      </rPr>
      <t>állagmegóvó takarítással</t>
    </r>
  </si>
  <si>
    <r>
      <t xml:space="preserve">Központi Betegellátó és II. sz. Női Klinika takarítási igények - összesítő tábla - </t>
    </r>
    <r>
      <rPr>
        <b/>
        <sz val="14"/>
        <color theme="5" tint="-0.249977111117893"/>
        <rFont val="Calibri"/>
        <family val="2"/>
        <charset val="238"/>
        <scheme val="minor"/>
      </rPr>
      <t>teljes működés</t>
    </r>
  </si>
  <si>
    <t>Takarítás időpontja:</t>
  </si>
  <si>
    <t>A kommunális hulladékot naponta át kell szállítani (tolni) a Balassa utcai tárolóba.</t>
  </si>
  <si>
    <t>A szeletív hulladékot az SE Logisztikai osztály szállítja el.</t>
  </si>
  <si>
    <t>A veszélyes hulladékot szakszolgáltató cég szállítja el.</t>
  </si>
  <si>
    <t>Egyéb:</t>
  </si>
  <si>
    <t>5:00-18:00</t>
  </si>
  <si>
    <t>Takarítás ideje a megjelölt időszakon belül műszak elején, közepén és végén</t>
  </si>
  <si>
    <t xml:space="preserve">Takarítás ideje a megjelölt időszakon belül </t>
  </si>
  <si>
    <t>7:00-17:00</t>
  </si>
  <si>
    <t xml:space="preserve">A "Szakmai követelményjegyzék" c. leírás részletesen ismerteti, hogy adott kategóriában milyen elvárások szerint szükséges elvégezni a takarítást. A leírásban szereplő gyakoriságok minimális elvárások. Jelen táblázatban került rögzítésre, hogy mely terület kér hétvégén illetve munkaszüneti, ünnepnapokon takarítást. A megjegyzés rovat tartalmazza a nagytakarítások  gyakoriságát. </t>
  </si>
  <si>
    <t>Felhívjuk a pályázók figyelmét, hogy a "Szakmai követelményjegyzék" c. leírásban szerepelnek még olyan feladatok, melyek higiénés kategóriához nem sorolható elvárások, de a Vállalkozó által elvégzendő feladatok (pl.: kárpittisztítás, stb.)</t>
  </si>
  <si>
    <t>A kiíró a szolgáltató rendelkezésére bocsát takarító szertárakat, öltözőt, zuhanyt, WC-t stb. ("K-Takarítás" munkafüzet lap alatti helyiségek) ezek takarítási költségei a szolgáltatót terhelik, azzal, hogy az épület működési jellege miatt ezek rendszeres tisztántartása kötelező, melyet a kiíró ellenőrizni fog.</t>
  </si>
  <si>
    <t xml:space="preserve">               Havi nettó díjak kategóriánként:</t>
  </si>
  <si>
    <t>Egységárak kategóriánként:</t>
  </si>
  <si>
    <t>Munkafüzet lap száma</t>
  </si>
  <si>
    <t>25.</t>
  </si>
  <si>
    <t>26.</t>
  </si>
  <si>
    <t>évente 2x teljes körű nagytakarítás</t>
  </si>
  <si>
    <t>sugárvédelmi oktatás, fokozott biztonsági előírások, eszközök, személyzet,                                        évente 2x nagytakarítás</t>
  </si>
  <si>
    <t>sugárvédelmi oktatás,                             évente 2x nagytakarítás</t>
  </si>
  <si>
    <t>szőnyeg porszívózás naponta 1x, tükör tisztítása, naponta 1x
havonta teljeskörű nagytakarítás</t>
  </si>
  <si>
    <t>hetente teljeskörű nagytakarítás,
a medencetérben dedikált takarítóeszközt kell használni</t>
  </si>
  <si>
    <t>Hetente teljeskörű nagytakarítás,
Évente 2x, a vízcserék alkalmával a medence belső felületének fertőtlenítő nagytakarítása.
A medencetérben dedikált takarítóeszközt kell használni</t>
  </si>
  <si>
    <t>Dedikált takarító eszköz összesen: 3 garnitúra</t>
  </si>
  <si>
    <t>Nagytakarítás évente 2x</t>
  </si>
  <si>
    <t>Takarítá ideje:</t>
  </si>
  <si>
    <t xml:space="preserve">Délelőttös műszakban: </t>
  </si>
  <si>
    <t>Nagytakarítás évente 4x (negyedévente)</t>
  </si>
  <si>
    <t>havi nagytakarítás</t>
  </si>
  <si>
    <t>Délelőttös műszakban:</t>
  </si>
  <si>
    <t>Nagytakarítás negyedévente</t>
  </si>
  <si>
    <t>Hetente nagytakarítás</t>
  </si>
  <si>
    <t>A műtő helyiségeinek (műtő, bemosakodó, kivezető, előkészítő) takarítása a szakdolgozók irányításával és felügyeletével történik.</t>
  </si>
  <si>
    <t>A műtőhelyiségek napi fertőtlenítő takarítása műtétek előtt:</t>
  </si>
  <si>
    <t>7:00-ig</t>
  </si>
  <si>
    <t>Műtőhelyiségek napi fertőtlenítő takarítása műtétek után:</t>
  </si>
  <si>
    <t>16:00-tól</t>
  </si>
  <si>
    <t>Műtőhelyiségek műtétek közötti takarítása:</t>
  </si>
  <si>
    <t>Napi átlagban 20 műtéttel lehet számolni az 5 műtőre összesen.</t>
  </si>
  <si>
    <t>Ügyeletes takarító igény összesen: 0 fő</t>
  </si>
  <si>
    <t>A 12 műtőből 7-et a Traumatológia használ (tervezett és nem tervezett műtétekkel), 0-24 órában</t>
  </si>
  <si>
    <t>Dedikált takarító igény: műszakonként 3 fő</t>
  </si>
  <si>
    <t>A 12 műtőből 5-öt az Ortopédia használ (tervezett műtétekkel), két műszakban.</t>
  </si>
  <si>
    <t>Dedikált takarító igény: műszakonként 4 fő</t>
  </si>
  <si>
    <t>Ügyeletes takarító igény du 17:00 és reggel 6:00 között 2 fő</t>
  </si>
  <si>
    <t>Napi átlagban 28-30 műtéttel lehet számolni a 7 műtőre összesen.</t>
  </si>
  <si>
    <t xml:space="preserve">A dedikált takarítószemélyzet száma, a teljes Trauma intenzívre értendő, számuk az ágymosó üzemelésétől függően változhat. </t>
  </si>
  <si>
    <t xml:space="preserve">Több dedikált takarítóeszközre lesz szükség, mint amennyi a tak.szertár rendelkezésére áll. </t>
  </si>
  <si>
    <t>Délelőttös műszak: 6:00-14:00 óráig.</t>
  </si>
  <si>
    <t>Délutános műszak: 14:00-19:00 óráig.</t>
  </si>
  <si>
    <t>negyedévente 1x teljes körű nagytakarítás</t>
  </si>
  <si>
    <t>Évente 2x nagytakarítás</t>
  </si>
  <si>
    <t>negyedévente 1x nagytakarítás</t>
  </si>
  <si>
    <t>Hetente egyszer szükséges kitakarítani a helyiségeket és a hulladék tároló konténereket.</t>
  </si>
  <si>
    <t>Nagytakarítás negyedévente 1x</t>
  </si>
  <si>
    <t>Nagytakarítás havonta 1x</t>
  </si>
  <si>
    <t>Nagytakarítás félévente 1x</t>
  </si>
  <si>
    <t>Nagytakarítás évente 1x</t>
  </si>
  <si>
    <t>4 fő</t>
  </si>
  <si>
    <t>Kategóriák együtt</t>
  </si>
  <si>
    <r>
      <t>Ft/m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/nap</t>
    </r>
  </si>
  <si>
    <t>Ügyeletes takarító igény: 8:00-17:00-ig legyen elérhető 1 fő</t>
  </si>
  <si>
    <t>Ügyeletes takarító igény összesen: 7:00-17:00-ig legyen elérhető 1 fő</t>
  </si>
  <si>
    <t>Ügyeletes takarító igény összesen: 7:00-19:00-ig legyen elérhető 1 fő</t>
  </si>
  <si>
    <t>Ügyeletes takarító igény összesen: 7:00-15:00-ig legyen elérhető 1 fő.</t>
  </si>
  <si>
    <t>Ügyeletes takarító igény összesen: 20:00-5:00-ig legyen elérhető 1 fő.</t>
  </si>
  <si>
    <t>Ügyeletes takarító igény összesen: 8:00-16:00-ig legyen elérhető 1 fő.</t>
  </si>
  <si>
    <t>Ügyeletes takarító igény összesen: 7:00-17:00-ig legyen elérhető 1 fő.</t>
  </si>
  <si>
    <t>Ügyeletes takarító igény összesen: 9:00-16:00-ig legyen elérhető 1 fő.</t>
  </si>
  <si>
    <t>Ügyeletes takarító igény: 5:00-18:00-ig legyen elérhető 1 fő.</t>
  </si>
  <si>
    <t>Ügyeletes takarító igény: 7:00-17:00-ig legyen elérhető 1 fő</t>
  </si>
  <si>
    <t>A vérdepo 0-24 órában üzemel</t>
  </si>
  <si>
    <t>Ügyeletes takarító igény összesen: 7:00-5:30-ig legyen elérhető 1 fő</t>
  </si>
  <si>
    <t>Ügyeletes takarító igény összesen: 7:30-16:00-ig legyen elérhető 1 fő</t>
  </si>
  <si>
    <t>K02.154</t>
  </si>
  <si>
    <t>Üzlet</t>
  </si>
  <si>
    <t>R-1-21</t>
  </si>
  <si>
    <t>Zuhanyzó-WC</t>
  </si>
  <si>
    <t>R-1-22</t>
  </si>
  <si>
    <t xml:space="preserve">I. </t>
  </si>
  <si>
    <t>R-1-23</t>
  </si>
  <si>
    <t>Büfé</t>
  </si>
  <si>
    <t>R-1-24</t>
  </si>
  <si>
    <t>Megjegyzés: Az üzlethelyiségeket a bérbevevő takarítja, de a fogyasztói tér takarítása a szolgáltató feladata.</t>
  </si>
  <si>
    <r>
      <t>A helyiségkönyv</t>
    </r>
    <r>
      <rPr>
        <sz val="11"/>
        <rFont val="Calibri"/>
        <family val="2"/>
        <charset val="238"/>
        <scheme val="minor"/>
      </rPr>
      <t xml:space="preserve"> 3-17</t>
    </r>
    <r>
      <rPr>
        <sz val="11"/>
        <color theme="1"/>
        <rFont val="Calibri"/>
        <family val="2"/>
        <charset val="238"/>
        <scheme val="minor"/>
      </rPr>
      <t>-ig munkafüzet lapjai a szervezeti egységek, és</t>
    </r>
    <r>
      <rPr>
        <sz val="11"/>
        <rFont val="Calibri"/>
        <family val="2"/>
        <charset val="238"/>
        <scheme val="minor"/>
      </rPr>
      <t xml:space="preserve"> 18-26-</t>
    </r>
    <r>
      <rPr>
        <sz val="11"/>
        <color theme="1"/>
        <rFont val="Calibri"/>
        <family val="2"/>
        <charset val="238"/>
        <scheme val="minor"/>
      </rPr>
      <t>ig munkafüzet lapjai a közös (szervezeti egységek között fel nem osztott) helyiségek szerinti bontásban tartalmazzák a tisztítandó területeket, felületeket. A helyiségek mellett szerepel a higiénés kategória besorolás, melyek részletes leírását a szakmai követelmény jegyzék tartalmazza. Az ajánlattevőnek az Összesítő lapon kell dolgoznia, mely a helyiségkönyv 2. munkafüzet lapján található. Az összesítő táblázat alatt állíthatók be a higiénés kategóriánkénti fajlagos árak (Ft/m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/nap), melyekkel a táblázatok kiszámolják a nettó, illetve bruttó havi vállalási árakat. </t>
    </r>
    <r>
      <rPr>
        <sz val="11"/>
        <color rgb="FFC00000"/>
        <rFont val="Calibri"/>
        <family val="2"/>
        <charset val="238"/>
        <scheme val="minor"/>
      </rPr>
      <t xml:space="preserve">Az írható cellákban piros számok (értékük jelenleg 0) szerepelnek, a többi cella írásvédett. </t>
    </r>
    <r>
      <rPr>
        <sz val="11"/>
        <rFont val="Calibri"/>
        <family val="2"/>
        <charset val="238"/>
        <scheme val="minor"/>
      </rPr>
      <t>A Felolvasólapon az Összesítő (2. lap) által kiszámított, a P35 cellában szereplő havi nettó átalányárat kell feltüntetni.</t>
    </r>
  </si>
  <si>
    <t>Az utolsó munkafüzet lap alatt szerepelnek a homlokzati ablakfelületek (az ablakok belső felületeit az adott helységek adatainál szerpeltejük tisztítandó felületként.). A homlokzati ablakfelületek tisztítása évente kétszer a nagytakarítás keretében történik, értelemszerűen ekkor a belső felületeket is meg kell tisztítani. A szolgáltatás ezen részének külön árazására nincs szükség, az a teljes árba beleértendő. Kivéve az árnyékolókat, melyekre lehívható szolgáltatásként kérünk ajánlatot (a Felolvasólapon).</t>
  </si>
  <si>
    <t>Összekötő folyosók</t>
  </si>
  <si>
    <t>normál elérésű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</si>
</sst>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4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7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0" fillId="0" borderId="3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49" fontId="0" fillId="6" borderId="3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2" borderId="15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49" fontId="0" fillId="0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4" fontId="0" fillId="0" borderId="0" xfId="0" applyNumberFormat="1"/>
    <xf numFmtId="0" fontId="0" fillId="3" borderId="2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right" vertical="center"/>
    </xf>
    <xf numFmtId="2" fontId="0" fillId="3" borderId="1" xfId="0" applyNumberFormat="1" applyFont="1" applyFill="1" applyBorder="1" applyAlignment="1">
      <alignment horizontal="right" vertical="center"/>
    </xf>
    <xf numFmtId="164" fontId="0" fillId="3" borderId="3" xfId="0" applyNumberForma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vertical="center" wrapText="1"/>
    </xf>
    <xf numFmtId="4" fontId="0" fillId="3" borderId="2" xfId="0" applyNumberForma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  <protection locked="0"/>
    </xf>
    <xf numFmtId="49" fontId="0" fillId="5" borderId="1" xfId="0" applyNumberFormat="1" applyFill="1" applyBorder="1" applyAlignment="1" applyProtection="1">
      <alignment horizontal="center" vertical="center" wrapText="1"/>
      <protection locked="0"/>
    </xf>
    <xf numFmtId="49" fontId="0" fillId="5" borderId="2" xfId="0" applyNumberForma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2" borderId="1" xfId="0" applyNumberForma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vertical="center"/>
    </xf>
    <xf numFmtId="4" fontId="0" fillId="6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0" borderId="0" xfId="0" applyAlignment="1"/>
    <xf numFmtId="4" fontId="0" fillId="0" borderId="0" xfId="0" applyNumberFormat="1" applyAlignment="1"/>
    <xf numFmtId="4" fontId="0" fillId="6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5" fillId="0" borderId="0" xfId="0" applyFont="1"/>
    <xf numFmtId="4" fontId="0" fillId="0" borderId="1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27" xfId="0" applyFill="1" applyBorder="1" applyAlignment="1">
      <alignment horizontal="center" vertical="center"/>
    </xf>
    <xf numFmtId="0" fontId="0" fillId="0" borderId="0" xfId="0" applyFill="1" applyBorder="1"/>
    <xf numFmtId="0" fontId="0" fillId="0" borderId="24" xfId="0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6" borderId="3" xfId="0" applyFill="1" applyBorder="1" applyAlignment="1">
      <alignment horizontal="center" vertical="center" wrapText="1"/>
    </xf>
    <xf numFmtId="4" fontId="0" fillId="6" borderId="3" xfId="0" applyNumberForma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right" vertical="center"/>
    </xf>
    <xf numFmtId="1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>
      <alignment horizontal="center" vertical="center"/>
    </xf>
    <xf numFmtId="0" fontId="0" fillId="5" borderId="4" xfId="0" applyFill="1" applyBorder="1" applyAlignment="1" applyProtection="1">
      <alignment horizontal="center" vertical="center" wrapText="1"/>
      <protection locked="0"/>
    </xf>
    <xf numFmtId="4" fontId="0" fillId="2" borderId="4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5" borderId="15" xfId="0" applyNumberFormat="1" applyFill="1" applyBorder="1" applyAlignment="1" applyProtection="1">
      <alignment horizontal="center" vertical="center" wrapText="1"/>
      <protection locked="0"/>
    </xf>
    <xf numFmtId="49" fontId="0" fillId="3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4" fontId="0" fillId="6" borderId="4" xfId="0" applyNumberFormat="1" applyFont="1" applyFill="1" applyBorder="1" applyAlignment="1">
      <alignment vertical="center"/>
    </xf>
    <xf numFmtId="4" fontId="0" fillId="6" borderId="3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vertical="center"/>
    </xf>
    <xf numFmtId="4" fontId="0" fillId="6" borderId="3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right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6" borderId="0" xfId="0" applyFont="1" applyFill="1" applyBorder="1" applyAlignment="1">
      <alignment horizontal="left" vertical="center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2" fontId="0" fillId="6" borderId="1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2" fontId="0" fillId="6" borderId="3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6" borderId="3" xfId="0" applyFill="1" applyBorder="1" applyAlignment="1">
      <alignment horizontal="right" vertical="center"/>
    </xf>
    <xf numFmtId="4" fontId="2" fillId="0" borderId="0" xfId="0" applyNumberFormat="1" applyFont="1" applyAlignment="1"/>
    <xf numFmtId="4" fontId="2" fillId="0" borderId="0" xfId="0" applyNumberFormat="1" applyFont="1" applyFill="1" applyAlignment="1"/>
    <xf numFmtId="0" fontId="2" fillId="0" borderId="0" xfId="0" applyFont="1" applyFill="1"/>
    <xf numFmtId="3" fontId="0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wrapText="1"/>
    </xf>
    <xf numFmtId="3" fontId="0" fillId="0" borderId="37" xfId="0" applyNumberFormat="1" applyFill="1" applyBorder="1" applyAlignment="1">
      <alignment horizontal="right" vertical="center"/>
    </xf>
    <xf numFmtId="3" fontId="0" fillId="3" borderId="36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0" fontId="0" fillId="3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0" fillId="3" borderId="36" xfId="0" applyNumberFormat="1" applyFont="1" applyFill="1" applyBorder="1" applyAlignment="1">
      <alignment horizontal="center" vertical="center" wrapText="1"/>
    </xf>
    <xf numFmtId="3" fontId="0" fillId="3" borderId="25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6" borderId="4" xfId="0" applyFill="1" applyBorder="1" applyAlignment="1">
      <alignment horizontal="center" vertical="center"/>
    </xf>
    <xf numFmtId="4" fontId="0" fillId="6" borderId="4" xfId="0" applyNumberForma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0" fillId="2" borderId="3" xfId="0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4" fontId="0" fillId="0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6" borderId="4" xfId="0" applyFill="1" applyBorder="1" applyAlignment="1">
      <alignment horizontal="right" vertical="center"/>
    </xf>
    <xf numFmtId="2" fontId="0" fillId="6" borderId="4" xfId="0" applyNumberForma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6" borderId="2" xfId="0" applyFill="1" applyBorder="1" applyAlignment="1">
      <alignment horizontal="right" vertical="center"/>
    </xf>
    <xf numFmtId="2" fontId="0" fillId="6" borderId="15" xfId="0" applyNumberFormat="1" applyFill="1" applyBorder="1" applyAlignment="1">
      <alignment horizontal="right" vertical="center"/>
    </xf>
    <xf numFmtId="2" fontId="0" fillId="6" borderId="2" xfId="0" applyNumberFormat="1" applyFill="1" applyBorder="1" applyAlignment="1">
      <alignment horizontal="right" vertical="center"/>
    </xf>
    <xf numFmtId="0" fontId="0" fillId="3" borderId="0" xfId="0" applyFill="1" applyBorder="1"/>
    <xf numFmtId="3" fontId="0" fillId="0" borderId="3" xfId="0" applyNumberFormat="1" applyFill="1" applyBorder="1" applyAlignment="1">
      <alignment vertical="center"/>
    </xf>
    <xf numFmtId="2" fontId="0" fillId="0" borderId="3" xfId="0" applyNumberForma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2" borderId="2" xfId="0" applyNumberFormat="1" applyFill="1" applyBorder="1" applyAlignment="1">
      <alignment horizontal="right" vertical="center" wrapText="1"/>
    </xf>
    <xf numFmtId="4" fontId="0" fillId="6" borderId="3" xfId="0" applyNumberFormat="1" applyFont="1" applyFill="1" applyBorder="1" applyAlignment="1">
      <alignment horizontal="right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2" fontId="0" fillId="6" borderId="3" xfId="0" applyNumberFormat="1" applyFill="1" applyBorder="1" applyAlignment="1">
      <alignment horizontal="right" vertical="center" wrapText="1"/>
    </xf>
    <xf numFmtId="2" fontId="0" fillId="0" borderId="3" xfId="0" applyNumberFormat="1" applyFill="1" applyBorder="1" applyAlignment="1">
      <alignment horizontal="right" vertical="center" wrapText="1"/>
    </xf>
    <xf numFmtId="164" fontId="0" fillId="3" borderId="15" xfId="0" applyNumberForma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right" vertical="center" wrapText="1"/>
    </xf>
    <xf numFmtId="4" fontId="0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indent="1"/>
    </xf>
    <xf numFmtId="4" fontId="2" fillId="0" borderId="0" xfId="0" applyNumberFormat="1" applyFont="1" applyAlignment="1">
      <alignment horizontal="right" vertical="center" indent="1"/>
    </xf>
    <xf numFmtId="4" fontId="2" fillId="12" borderId="1" xfId="0" applyNumberFormat="1" applyFont="1" applyFill="1" applyBorder="1" applyAlignment="1">
      <alignment horizontal="right" vertical="center" indent="1"/>
    </xf>
    <xf numFmtId="4" fontId="2" fillId="4" borderId="1" xfId="0" applyNumberFormat="1" applyFont="1" applyFill="1" applyBorder="1" applyAlignment="1">
      <alignment horizontal="right" vertical="center" indent="1"/>
    </xf>
    <xf numFmtId="4" fontId="2" fillId="9" borderId="1" xfId="0" applyNumberFormat="1" applyFont="1" applyFill="1" applyBorder="1" applyAlignment="1">
      <alignment horizontal="right" vertical="center" indent="1"/>
    </xf>
    <xf numFmtId="4" fontId="2" fillId="16" borderId="1" xfId="0" applyNumberFormat="1" applyFont="1" applyFill="1" applyBorder="1" applyAlignment="1">
      <alignment horizontal="right" vertical="center" indent="1"/>
    </xf>
    <xf numFmtId="4" fontId="2" fillId="8" borderId="1" xfId="0" applyNumberFormat="1" applyFont="1" applyFill="1" applyBorder="1" applyAlignment="1">
      <alignment horizontal="right" vertical="center" indent="1"/>
    </xf>
    <xf numFmtId="4" fontId="0" fillId="0" borderId="1" xfId="0" applyNumberFormat="1" applyBorder="1" applyAlignment="1">
      <alignment horizontal="right" vertical="center" indent="1"/>
    </xf>
    <xf numFmtId="4" fontId="0" fillId="12" borderId="1" xfId="0" applyNumberFormat="1" applyFill="1" applyBorder="1" applyAlignment="1">
      <alignment horizontal="right" vertical="center" indent="1"/>
    </xf>
    <xf numFmtId="4" fontId="0" fillId="4" borderId="1" xfId="0" applyNumberFormat="1" applyFill="1" applyBorder="1" applyAlignment="1">
      <alignment horizontal="right" vertical="center" indent="1"/>
    </xf>
    <xf numFmtId="4" fontId="0" fillId="9" borderId="1" xfId="0" applyNumberFormat="1" applyFill="1" applyBorder="1" applyAlignment="1">
      <alignment horizontal="right" vertical="center" indent="1"/>
    </xf>
    <xf numFmtId="4" fontId="0" fillId="16" borderId="1" xfId="0" applyNumberFormat="1" applyFill="1" applyBorder="1" applyAlignment="1">
      <alignment horizontal="right" vertical="center" indent="1"/>
    </xf>
    <xf numFmtId="4" fontId="0" fillId="8" borderId="1" xfId="0" applyNumberFormat="1" applyFill="1" applyBorder="1" applyAlignment="1">
      <alignment horizontal="right" vertical="center" indent="1"/>
    </xf>
    <xf numFmtId="4" fontId="2" fillId="7" borderId="1" xfId="0" applyNumberFormat="1" applyFont="1" applyFill="1" applyBorder="1" applyAlignment="1">
      <alignment horizontal="right" vertical="center" indent="1"/>
    </xf>
    <xf numFmtId="4" fontId="2" fillId="10" borderId="1" xfId="0" applyNumberFormat="1" applyFont="1" applyFill="1" applyBorder="1" applyAlignment="1">
      <alignment horizontal="right" vertical="center" indent="1"/>
    </xf>
    <xf numFmtId="4" fontId="2" fillId="14" borderId="1" xfId="0" applyNumberFormat="1" applyFont="1" applyFill="1" applyBorder="1" applyAlignment="1">
      <alignment horizontal="right" vertical="center" indent="1"/>
    </xf>
    <xf numFmtId="4" fontId="2" fillId="15" borderId="1" xfId="0" applyNumberFormat="1" applyFont="1" applyFill="1" applyBorder="1" applyAlignment="1">
      <alignment horizontal="right" vertical="center" indent="1"/>
    </xf>
    <xf numFmtId="4" fontId="2" fillId="13" borderId="1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0" borderId="1" xfId="0" applyNumberFormat="1" applyFont="1" applyBorder="1" applyAlignment="1">
      <alignment horizontal="left" vertical="center" indent="1"/>
    </xf>
    <xf numFmtId="4" fontId="4" fillId="0" borderId="1" xfId="0" applyNumberFormat="1" applyFont="1" applyFill="1" applyBorder="1" applyAlignment="1">
      <alignment horizontal="left" vertical="center" indent="1"/>
    </xf>
    <xf numFmtId="4" fontId="4" fillId="0" borderId="1" xfId="0" applyNumberFormat="1" applyFont="1" applyFill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2" fillId="1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4" fontId="2" fillId="16" borderId="1" xfId="0" applyNumberFormat="1" applyFont="1" applyFill="1" applyBorder="1" applyAlignment="1">
      <alignment horizontal="center" vertical="center" wrapText="1"/>
    </xf>
    <xf numFmtId="4" fontId="2" fillId="18" borderId="1" xfId="0" applyNumberFormat="1" applyFont="1" applyFill="1" applyBorder="1" applyAlignment="1">
      <alignment horizontal="right" vertical="center" indent="1"/>
    </xf>
    <xf numFmtId="4" fontId="2" fillId="19" borderId="1" xfId="0" applyNumberFormat="1" applyFont="1" applyFill="1" applyBorder="1" applyAlignment="1">
      <alignment horizontal="right" vertical="center" indent="1"/>
    </xf>
    <xf numFmtId="4" fontId="2" fillId="20" borderId="1" xfId="0" applyNumberFormat="1" applyFont="1" applyFill="1" applyBorder="1" applyAlignment="1">
      <alignment horizontal="right" vertical="center" indent="1"/>
    </xf>
    <xf numFmtId="4" fontId="2" fillId="21" borderId="1" xfId="0" applyNumberFormat="1" applyFont="1" applyFill="1" applyBorder="1" applyAlignment="1">
      <alignment horizontal="right" vertical="center" indent="1"/>
    </xf>
    <xf numFmtId="4" fontId="2" fillId="22" borderId="1" xfId="0" applyNumberFormat="1" applyFont="1" applyFill="1" applyBorder="1" applyAlignment="1">
      <alignment horizontal="right" vertical="center" indent="1"/>
    </xf>
    <xf numFmtId="4" fontId="2" fillId="0" borderId="1" xfId="0" applyNumberFormat="1" applyFont="1" applyFill="1" applyBorder="1" applyAlignment="1">
      <alignment horizontal="left" vertical="center" indent="1"/>
    </xf>
    <xf numFmtId="4" fontId="14" fillId="17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right" vertical="center" indent="1"/>
    </xf>
    <xf numFmtId="4" fontId="2" fillId="0" borderId="27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 indent="1"/>
    </xf>
    <xf numFmtId="10" fontId="0" fillId="0" borderId="25" xfId="1" applyNumberFormat="1" applyFont="1" applyBorder="1" applyAlignment="1">
      <alignment horizontal="left" vertical="center"/>
    </xf>
    <xf numFmtId="4" fontId="0" fillId="0" borderId="16" xfId="0" applyNumberFormat="1" applyBorder="1" applyAlignment="1">
      <alignment horizontal="left" vertical="center"/>
    </xf>
    <xf numFmtId="4" fontId="0" fillId="0" borderId="17" xfId="0" applyNumberFormat="1" applyBorder="1" applyAlignment="1">
      <alignment horizontal="right" vertical="center" indent="1"/>
    </xf>
    <xf numFmtId="4" fontId="0" fillId="0" borderId="37" xfId="0" applyNumberFormat="1" applyBorder="1" applyAlignment="1">
      <alignment horizontal="left" vertical="center"/>
    </xf>
    <xf numFmtId="4" fontId="0" fillId="0" borderId="24" xfId="0" applyNumberFormat="1" applyBorder="1" applyAlignment="1">
      <alignment horizontal="left" vertical="center"/>
    </xf>
    <xf numFmtId="4" fontId="0" fillId="0" borderId="26" xfId="0" applyNumberFormat="1" applyBorder="1" applyAlignment="1">
      <alignment horizontal="left" vertical="center"/>
    </xf>
    <xf numFmtId="4" fontId="0" fillId="0" borderId="17" xfId="0" applyNumberFormat="1" applyBorder="1" applyAlignment="1">
      <alignment horizontal="left" vertical="center"/>
    </xf>
    <xf numFmtId="4" fontId="0" fillId="0" borderId="38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left" vertical="center"/>
    </xf>
    <xf numFmtId="4" fontId="0" fillId="0" borderId="24" xfId="0" applyNumberFormat="1" applyBorder="1" applyAlignment="1">
      <alignment horizontal="right" vertical="center" indent="1"/>
    </xf>
    <xf numFmtId="4" fontId="14" fillId="17" borderId="0" xfId="0" applyNumberFormat="1" applyFont="1" applyFill="1" applyBorder="1" applyAlignment="1">
      <alignment horizontal="left" vertical="center" indent="1"/>
    </xf>
    <xf numFmtId="4" fontId="14" fillId="17" borderId="0" xfId="0" applyNumberFormat="1" applyFont="1" applyFill="1" applyBorder="1" applyAlignment="1">
      <alignment horizontal="right" vertical="center"/>
    </xf>
    <xf numFmtId="4" fontId="2" fillId="4" borderId="43" xfId="0" applyNumberFormat="1" applyFont="1" applyFill="1" applyBorder="1" applyAlignment="1">
      <alignment horizontal="right" vertical="center" indent="1"/>
    </xf>
    <xf numFmtId="4" fontId="2" fillId="9" borderId="43" xfId="0" applyNumberFormat="1" applyFont="1" applyFill="1" applyBorder="1" applyAlignment="1">
      <alignment horizontal="right" vertical="center" indent="1"/>
    </xf>
    <xf numFmtId="4" fontId="2" fillId="4" borderId="43" xfId="0" applyNumberFormat="1" applyFont="1" applyFill="1" applyBorder="1" applyAlignment="1">
      <alignment horizontal="left" vertical="center"/>
    </xf>
    <xf numFmtId="4" fontId="2" fillId="9" borderId="43" xfId="0" applyNumberFormat="1" applyFont="1" applyFill="1" applyBorder="1" applyAlignment="1">
      <alignment horizontal="left" vertical="center"/>
    </xf>
    <xf numFmtId="4" fontId="2" fillId="12" borderId="43" xfId="0" applyNumberFormat="1" applyFont="1" applyFill="1" applyBorder="1" applyAlignment="1">
      <alignment horizontal="right" vertical="center" indent="1"/>
    </xf>
    <xf numFmtId="4" fontId="2" fillId="12" borderId="43" xfId="0" applyNumberFormat="1" applyFont="1" applyFill="1" applyBorder="1" applyAlignment="1">
      <alignment horizontal="left" vertical="center"/>
    </xf>
    <xf numFmtId="4" fontId="2" fillId="16" borderId="43" xfId="0" applyNumberFormat="1" applyFont="1" applyFill="1" applyBorder="1" applyAlignment="1">
      <alignment horizontal="right" vertical="center" indent="1"/>
    </xf>
    <xf numFmtId="4" fontId="4" fillId="16" borderId="43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0" fillId="3" borderId="0" xfId="0" applyNumberFormat="1" applyFill="1" applyAlignment="1">
      <alignment horizontal="right" vertical="center" indent="1"/>
    </xf>
    <xf numFmtId="4" fontId="0" fillId="3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left" vertical="center" indent="3"/>
    </xf>
    <xf numFmtId="0" fontId="2" fillId="3" borderId="0" xfId="0" applyFont="1" applyFill="1" applyBorder="1"/>
    <xf numFmtId="0" fontId="2" fillId="3" borderId="0" xfId="0" applyFont="1" applyFill="1"/>
    <xf numFmtId="0" fontId="0" fillId="3" borderId="1" xfId="0" applyFill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" fontId="0" fillId="0" borderId="0" xfId="0" applyNumberFormat="1" applyBorder="1" applyAlignment="1">
      <alignment horizontal="left" vertical="center"/>
    </xf>
    <xf numFmtId="4" fontId="2" fillId="12" borderId="51" xfId="0" applyNumberFormat="1" applyFont="1" applyFill="1" applyBorder="1" applyAlignment="1">
      <alignment horizontal="center" vertical="center"/>
    </xf>
    <xf numFmtId="4" fontId="2" fillId="12" borderId="53" xfId="0" applyNumberFormat="1" applyFont="1" applyFill="1" applyBorder="1" applyAlignment="1">
      <alignment horizontal="left" vertical="center"/>
    </xf>
    <xf numFmtId="4" fontId="2" fillId="4" borderId="54" xfId="0" applyNumberFormat="1" applyFont="1" applyFill="1" applyBorder="1" applyAlignment="1">
      <alignment horizontal="center" vertical="center"/>
    </xf>
    <xf numFmtId="4" fontId="2" fillId="4" borderId="55" xfId="0" applyNumberFormat="1" applyFont="1" applyFill="1" applyBorder="1" applyAlignment="1">
      <alignment horizontal="left" vertical="center"/>
    </xf>
    <xf numFmtId="4" fontId="2" fillId="9" borderId="54" xfId="0" applyNumberFormat="1" applyFont="1" applyFill="1" applyBorder="1" applyAlignment="1">
      <alignment horizontal="center" vertical="center"/>
    </xf>
    <xf numFmtId="4" fontId="2" fillId="9" borderId="55" xfId="0" applyNumberFormat="1" applyFont="1" applyFill="1" applyBorder="1" applyAlignment="1">
      <alignment horizontal="left" vertical="center"/>
    </xf>
    <xf numFmtId="4" fontId="2" fillId="16" borderId="56" xfId="0" applyNumberFormat="1" applyFont="1" applyFill="1" applyBorder="1" applyAlignment="1">
      <alignment horizontal="center" vertical="center"/>
    </xf>
    <xf numFmtId="4" fontId="2" fillId="16" borderId="58" xfId="0" applyNumberFormat="1" applyFont="1" applyFill="1" applyBorder="1" applyAlignment="1">
      <alignment horizontal="left" vertical="center"/>
    </xf>
    <xf numFmtId="4" fontId="12" fillId="12" borderId="52" xfId="0" applyNumberFormat="1" applyFont="1" applyFill="1" applyBorder="1" applyAlignment="1">
      <alignment horizontal="right" vertical="center" indent="1"/>
    </xf>
    <xf numFmtId="4" fontId="12" fillId="4" borderId="43" xfId="0" applyNumberFormat="1" applyFont="1" applyFill="1" applyBorder="1" applyAlignment="1">
      <alignment horizontal="right" vertical="center" indent="1"/>
    </xf>
    <xf numFmtId="4" fontId="12" fillId="9" borderId="43" xfId="0" applyNumberFormat="1" applyFont="1" applyFill="1" applyBorder="1" applyAlignment="1">
      <alignment horizontal="right" vertical="center" indent="1"/>
    </xf>
    <xf numFmtId="4" fontId="12" fillId="16" borderId="57" xfId="0" applyNumberFormat="1" applyFont="1" applyFill="1" applyBorder="1" applyAlignment="1">
      <alignment horizontal="right" vertical="center" inden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 indent="2"/>
    </xf>
    <xf numFmtId="0" fontId="20" fillId="0" borderId="0" xfId="0" applyFont="1" applyAlignment="1">
      <alignment wrapText="1"/>
    </xf>
    <xf numFmtId="0" fontId="0" fillId="0" borderId="0" xfId="0" applyAlignment="1">
      <alignment horizontal="justify" wrapText="1"/>
    </xf>
    <xf numFmtId="4" fontId="21" fillId="0" borderId="0" xfId="0" applyNumberFormat="1" applyFont="1" applyBorder="1" applyAlignment="1">
      <alignment horizontal="left" vertical="center"/>
    </xf>
    <xf numFmtId="4" fontId="0" fillId="0" borderId="38" xfId="0" applyNumberFormat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/>
    </xf>
    <xf numFmtId="10" fontId="0" fillId="0" borderId="13" xfId="1" applyNumberFormat="1" applyFont="1" applyBorder="1" applyAlignment="1">
      <alignment horizontal="left" vertical="center"/>
    </xf>
    <xf numFmtId="4" fontId="0" fillId="0" borderId="38" xfId="0" applyNumberFormat="1" applyBorder="1" applyAlignment="1">
      <alignment horizontal="right" vertical="center" indent="1"/>
    </xf>
    <xf numFmtId="4" fontId="0" fillId="0" borderId="13" xfId="0" applyNumberFormat="1" applyBorder="1" applyAlignment="1">
      <alignment horizontal="right" vertical="center" indent="1"/>
    </xf>
    <xf numFmtId="4" fontId="2" fillId="0" borderId="43" xfId="0" applyNumberFormat="1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Alignment="1">
      <alignment horizontal="right" vertical="center" indent="1"/>
    </xf>
    <xf numFmtId="4" fontId="10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2" fontId="0" fillId="23" borderId="2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2" fillId="6" borderId="15" xfId="0" applyNumberFormat="1" applyFont="1" applyFill="1" applyBorder="1" applyAlignment="1">
      <alignment horizontal="center" vertical="center"/>
    </xf>
    <xf numFmtId="4" fontId="2" fillId="6" borderId="15" xfId="0" applyNumberFormat="1" applyFont="1" applyFill="1" applyBorder="1" applyAlignment="1">
      <alignment horizontal="right" vertical="center"/>
    </xf>
    <xf numFmtId="2" fontId="2" fillId="6" borderId="15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left" indent="3"/>
    </xf>
    <xf numFmtId="0" fontId="11" fillId="0" borderId="0" xfId="0" applyFont="1" applyFill="1" applyBorder="1" applyAlignment="1">
      <alignment vertical="center"/>
    </xf>
    <xf numFmtId="0" fontId="0" fillId="23" borderId="1" xfId="0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/>
    </xf>
    <xf numFmtId="0" fontId="2" fillId="0" borderId="0" xfId="0" applyFont="1" applyAlignment="1">
      <alignment horizontal="left" indent="2"/>
    </xf>
    <xf numFmtId="0" fontId="2" fillId="0" borderId="0" xfId="0" quotePrefix="1" applyFont="1" applyAlignment="1">
      <alignment horizontal="left"/>
    </xf>
    <xf numFmtId="4" fontId="0" fillId="0" borderId="1" xfId="0" applyNumberFormat="1" applyFill="1" applyBorder="1" applyAlignment="1">
      <alignment horizontal="right" vertical="center" indent="1"/>
    </xf>
    <xf numFmtId="4" fontId="2" fillId="0" borderId="0" xfId="0" applyNumberFormat="1" applyFont="1" applyAlignment="1">
      <alignment horizontal="left" vertical="center" indent="1"/>
    </xf>
    <xf numFmtId="4" fontId="2" fillId="24" borderId="1" xfId="0" applyNumberFormat="1" applyFont="1" applyFill="1" applyBorder="1" applyAlignment="1">
      <alignment horizontal="right" vertical="center" indent="1"/>
    </xf>
    <xf numFmtId="4" fontId="2" fillId="25" borderId="1" xfId="0" applyNumberFormat="1" applyFont="1" applyFill="1" applyBorder="1" applyAlignment="1">
      <alignment horizontal="right" vertical="center" indent="1"/>
    </xf>
    <xf numFmtId="4" fontId="0" fillId="25" borderId="1" xfId="0" applyNumberFormat="1" applyFill="1" applyBorder="1" applyAlignment="1">
      <alignment horizontal="right" vertical="center" indent="1"/>
    </xf>
    <xf numFmtId="4" fontId="2" fillId="25" borderId="1" xfId="0" applyNumberFormat="1" applyFont="1" applyFill="1" applyBorder="1" applyAlignment="1">
      <alignment horizontal="center" vertical="center" wrapText="1"/>
    </xf>
    <xf numFmtId="4" fontId="2" fillId="12" borderId="6" xfId="0" applyNumberFormat="1" applyFont="1" applyFill="1" applyBorder="1" applyAlignment="1">
      <alignment horizontal="center" vertical="center"/>
    </xf>
    <xf numFmtId="4" fontId="12" fillId="12" borderId="7" xfId="0" applyNumberFormat="1" applyFont="1" applyFill="1" applyBorder="1" applyAlignment="1">
      <alignment horizontal="right" vertical="center" indent="1"/>
    </xf>
    <xf numFmtId="4" fontId="2" fillId="12" borderId="8" xfId="0" applyNumberFormat="1" applyFont="1" applyFill="1" applyBorder="1" applyAlignment="1">
      <alignment horizontal="left" vertical="center"/>
    </xf>
    <xf numFmtId="4" fontId="2" fillId="4" borderId="59" xfId="0" applyNumberFormat="1" applyFont="1" applyFill="1" applyBorder="1" applyAlignment="1">
      <alignment horizontal="center" vertical="center"/>
    </xf>
    <xf numFmtId="4" fontId="2" fillId="4" borderId="60" xfId="0" applyNumberFormat="1" applyFont="1" applyFill="1" applyBorder="1" applyAlignment="1">
      <alignment horizontal="left" vertical="center"/>
    </xf>
    <xf numFmtId="4" fontId="2" fillId="9" borderId="59" xfId="0" applyNumberFormat="1" applyFont="1" applyFill="1" applyBorder="1" applyAlignment="1">
      <alignment horizontal="center" vertical="center"/>
    </xf>
    <xf numFmtId="4" fontId="2" fillId="9" borderId="60" xfId="0" applyNumberFormat="1" applyFont="1" applyFill="1" applyBorder="1" applyAlignment="1">
      <alignment horizontal="left" vertical="center"/>
    </xf>
    <xf numFmtId="4" fontId="2" fillId="25" borderId="59" xfId="0" applyNumberFormat="1" applyFont="1" applyFill="1" applyBorder="1" applyAlignment="1">
      <alignment horizontal="center" vertical="center"/>
    </xf>
    <xf numFmtId="4" fontId="2" fillId="25" borderId="60" xfId="0" applyNumberFormat="1" applyFont="1" applyFill="1" applyBorder="1" applyAlignment="1">
      <alignment horizontal="left" vertical="center"/>
    </xf>
    <xf numFmtId="4" fontId="2" fillId="16" borderId="44" xfId="0" applyNumberFormat="1" applyFont="1" applyFill="1" applyBorder="1" applyAlignment="1">
      <alignment horizontal="center" vertical="center"/>
    </xf>
    <xf numFmtId="4" fontId="12" fillId="16" borderId="39" xfId="0" applyNumberFormat="1" applyFont="1" applyFill="1" applyBorder="1" applyAlignment="1">
      <alignment horizontal="right" vertical="center" indent="1"/>
    </xf>
    <xf numFmtId="4" fontId="2" fillId="16" borderId="61" xfId="0" applyNumberFormat="1" applyFont="1" applyFill="1" applyBorder="1" applyAlignment="1">
      <alignment horizontal="left" vertical="center"/>
    </xf>
    <xf numFmtId="4" fontId="12" fillId="25" borderId="43" xfId="0" applyNumberFormat="1" applyFont="1" applyFill="1" applyBorder="1" applyAlignment="1">
      <alignment horizontal="right" vertical="center" indent="1"/>
    </xf>
    <xf numFmtId="4" fontId="0" fillId="0" borderId="0" xfId="0" applyNumberFormat="1" applyFill="1" applyAlignment="1">
      <alignment horizontal="right" vertical="center" indent="1"/>
    </xf>
    <xf numFmtId="4" fontId="2" fillId="0" borderId="18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59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4" fontId="2" fillId="4" borderId="0" xfId="0" applyNumberFormat="1" applyFont="1" applyFill="1" applyBorder="1" applyAlignment="1">
      <alignment horizontal="right" vertical="center" indent="1"/>
    </xf>
    <xf numFmtId="4" fontId="2" fillId="4" borderId="0" xfId="0" applyNumberFormat="1" applyFont="1" applyFill="1" applyBorder="1" applyAlignment="1">
      <alignment horizontal="left" vertical="center"/>
    </xf>
    <xf numFmtId="4" fontId="2" fillId="25" borderId="0" xfId="0" applyNumberFormat="1" applyFont="1" applyFill="1" applyBorder="1" applyAlignment="1">
      <alignment horizontal="right" vertical="center" indent="1"/>
    </xf>
    <xf numFmtId="4" fontId="2" fillId="25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indent="2"/>
    </xf>
    <xf numFmtId="4" fontId="2" fillId="4" borderId="0" xfId="0" applyNumberFormat="1" applyFont="1" applyFill="1" applyBorder="1" applyAlignment="1">
      <alignment horizontal="center" vertical="center"/>
    </xf>
    <xf numFmtId="4" fontId="2" fillId="12" borderId="43" xfId="0" applyNumberFormat="1" applyFont="1" applyFill="1" applyBorder="1" applyAlignment="1">
      <alignment horizontal="center" vertical="center"/>
    </xf>
    <xf numFmtId="4" fontId="2" fillId="9" borderId="43" xfId="0" applyNumberFormat="1" applyFont="1" applyFill="1" applyBorder="1" applyAlignment="1">
      <alignment horizontal="center" vertical="center"/>
    </xf>
    <xf numFmtId="4" fontId="2" fillId="16" borderId="43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 indent="1"/>
    </xf>
    <xf numFmtId="4" fontId="0" fillId="0" borderId="0" xfId="0" applyNumberFormat="1" applyFill="1" applyAlignment="1">
      <alignment horizontal="center" vertical="center"/>
    </xf>
    <xf numFmtId="4" fontId="0" fillId="0" borderId="16" xfId="0" applyNumberForma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4" fontId="0" fillId="0" borderId="17" xfId="0" applyNumberFormat="1" applyFill="1" applyBorder="1" applyAlignment="1">
      <alignment horizontal="right" vertical="center" indent="1"/>
    </xf>
    <xf numFmtId="4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23" fillId="0" borderId="0" xfId="0" applyFont="1"/>
    <xf numFmtId="0" fontId="20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/>
    <xf numFmtId="0" fontId="20" fillId="0" borderId="0" xfId="0" applyFont="1" applyAlignment="1">
      <alignment horizontal="left"/>
    </xf>
    <xf numFmtId="0" fontId="20" fillId="0" borderId="0" xfId="0" applyFont="1" applyFill="1"/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right" vertical="center" indent="1"/>
    </xf>
    <xf numFmtId="4" fontId="14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Alignment="1">
      <alignment horizontal="left" vertical="center" indent="3"/>
    </xf>
    <xf numFmtId="0" fontId="0" fillId="0" borderId="17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14" fillId="17" borderId="0" xfId="0" applyNumberFormat="1" applyFont="1" applyFill="1" applyAlignment="1">
      <alignment horizontal="center" vertical="center" wrapText="1"/>
    </xf>
    <xf numFmtId="4" fontId="2" fillId="11" borderId="36" xfId="0" applyNumberFormat="1" applyFont="1" applyFill="1" applyBorder="1" applyAlignment="1">
      <alignment horizontal="center" vertical="center"/>
    </xf>
    <xf numFmtId="4" fontId="2" fillId="11" borderId="43" xfId="0" applyNumberFormat="1" applyFont="1" applyFill="1" applyBorder="1" applyAlignment="1">
      <alignment horizontal="center" vertical="center"/>
    </xf>
    <xf numFmtId="4" fontId="2" fillId="11" borderId="27" xfId="0" applyNumberFormat="1" applyFont="1" applyFill="1" applyBorder="1" applyAlignment="1">
      <alignment horizontal="center" vertical="center"/>
    </xf>
    <xf numFmtId="4" fontId="2" fillId="10" borderId="36" xfId="0" applyNumberFormat="1" applyFont="1" applyFill="1" applyBorder="1" applyAlignment="1">
      <alignment horizontal="center" vertical="center"/>
    </xf>
    <xf numFmtId="4" fontId="2" fillId="10" borderId="43" xfId="0" applyNumberFormat="1" applyFont="1" applyFill="1" applyBorder="1" applyAlignment="1">
      <alignment horizontal="center" vertical="center"/>
    </xf>
    <xf numFmtId="4" fontId="2" fillId="10" borderId="27" xfId="0" applyNumberFormat="1" applyFont="1" applyFill="1" applyBorder="1" applyAlignment="1">
      <alignment horizontal="center" vertical="center"/>
    </xf>
    <xf numFmtId="4" fontId="2" fillId="14" borderId="36" xfId="0" applyNumberFormat="1" applyFont="1" applyFill="1" applyBorder="1" applyAlignment="1">
      <alignment horizontal="center" vertical="center"/>
    </xf>
    <xf numFmtId="4" fontId="2" fillId="14" borderId="43" xfId="0" applyNumberFormat="1" applyFont="1" applyFill="1" applyBorder="1" applyAlignment="1">
      <alignment horizontal="center" vertical="center"/>
    </xf>
    <xf numFmtId="4" fontId="2" fillId="14" borderId="27" xfId="0" applyNumberFormat="1" applyFont="1" applyFill="1" applyBorder="1" applyAlignment="1">
      <alignment horizontal="center" vertical="center"/>
    </xf>
    <xf numFmtId="4" fontId="2" fillId="15" borderId="36" xfId="0" applyNumberFormat="1" applyFont="1" applyFill="1" applyBorder="1" applyAlignment="1">
      <alignment horizontal="center" vertical="center"/>
    </xf>
    <xf numFmtId="4" fontId="2" fillId="15" borderId="43" xfId="0" applyNumberFormat="1" applyFont="1" applyFill="1" applyBorder="1" applyAlignment="1">
      <alignment horizontal="center" vertical="center"/>
    </xf>
    <xf numFmtId="4" fontId="2" fillId="15" borderId="27" xfId="0" applyNumberFormat="1" applyFont="1" applyFill="1" applyBorder="1" applyAlignment="1">
      <alignment horizontal="center" vertical="center"/>
    </xf>
    <xf numFmtId="4" fontId="2" fillId="13" borderId="36" xfId="0" applyNumberFormat="1" applyFont="1" applyFill="1" applyBorder="1" applyAlignment="1">
      <alignment horizontal="center" vertical="center"/>
    </xf>
    <xf numFmtId="4" fontId="2" fillId="13" borderId="27" xfId="0" applyNumberFormat="1" applyFont="1" applyFill="1" applyBorder="1" applyAlignment="1">
      <alignment horizontal="center" vertical="center"/>
    </xf>
    <xf numFmtId="4" fontId="2" fillId="24" borderId="36" xfId="0" applyNumberFormat="1" applyFont="1" applyFill="1" applyBorder="1" applyAlignment="1">
      <alignment horizontal="center" vertical="center"/>
    </xf>
    <xf numFmtId="4" fontId="2" fillId="24" borderId="43" xfId="0" applyNumberFormat="1" applyFont="1" applyFill="1" applyBorder="1" applyAlignment="1">
      <alignment horizontal="center" vertical="center"/>
    </xf>
    <xf numFmtId="4" fontId="2" fillId="24" borderId="27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 vertical="center" indent="3"/>
    </xf>
    <xf numFmtId="4" fontId="2" fillId="0" borderId="36" xfId="0" applyNumberFormat="1" applyFont="1" applyBorder="1" applyAlignment="1">
      <alignment horizontal="left" vertical="center"/>
    </xf>
    <xf numFmtId="4" fontId="2" fillId="0" borderId="43" xfId="0" applyNumberFormat="1" applyFont="1" applyBorder="1" applyAlignment="1">
      <alignment horizontal="left" vertical="center"/>
    </xf>
    <xf numFmtId="4" fontId="0" fillId="0" borderId="36" xfId="0" applyNumberFormat="1" applyFont="1" applyBorder="1" applyAlignment="1">
      <alignment horizontal="left" vertical="center" wrapText="1" indent="1"/>
    </xf>
    <xf numFmtId="4" fontId="0" fillId="0" borderId="43" xfId="0" applyNumberFormat="1" applyFont="1" applyBorder="1" applyAlignment="1">
      <alignment horizontal="left" vertical="center" wrapText="1" indent="1"/>
    </xf>
    <xf numFmtId="4" fontId="0" fillId="0" borderId="27" xfId="0" applyNumberFormat="1" applyFont="1" applyBorder="1" applyAlignment="1">
      <alignment horizontal="left" vertical="center" wrapText="1" indent="1"/>
    </xf>
    <xf numFmtId="4" fontId="2" fillId="0" borderId="27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left" vertical="center" indent="1"/>
    </xf>
    <xf numFmtId="4" fontId="2" fillId="0" borderId="27" xfId="0" applyNumberFormat="1" applyFont="1" applyBorder="1" applyAlignment="1">
      <alignment horizontal="left" vertical="center" indent="1"/>
    </xf>
    <xf numFmtId="4" fontId="14" fillId="0" borderId="0" xfId="0" applyNumberFormat="1" applyFont="1" applyFill="1" applyBorder="1" applyAlignment="1">
      <alignment horizontal="center" vertical="center"/>
    </xf>
    <xf numFmtId="4" fontId="14" fillId="17" borderId="0" xfId="0" applyNumberFormat="1" applyFont="1" applyFill="1" applyBorder="1" applyAlignment="1">
      <alignment horizontal="left" vertical="center" indent="3"/>
    </xf>
    <xf numFmtId="4" fontId="2" fillId="0" borderId="62" xfId="0" applyNumberFormat="1" applyFont="1" applyBorder="1" applyAlignment="1">
      <alignment horizontal="left" vertical="center" wrapText="1" indent="6"/>
    </xf>
    <xf numFmtId="4" fontId="2" fillId="0" borderId="0" xfId="0" applyNumberFormat="1" applyFont="1" applyBorder="1" applyAlignment="1">
      <alignment horizontal="left" vertical="center" wrapText="1" indent="6"/>
    </xf>
    <xf numFmtId="4" fontId="24" fillId="0" borderId="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FFCC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OJKOV~2\AppData\Local\Temp\XPgrpwise\Ter&#252;let-feloszt&#225;sok_KBE_2015_11_08_szines_takari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ojkovicsa\Kor&#225;nyi%20m&#233;retek%20(v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tkays\Documents\FAnita%20dokumentumok\Takar&#237;t&#225;s\Kor&#225;nyi%20projekt\Kor&#225;nyi%20m&#233;retek%20(v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ce"/>
      <sheetName val="Fszt."/>
      <sheetName val="I. emelet"/>
      <sheetName val="II. emelet"/>
      <sheetName val="III. emelet"/>
      <sheetName val="IV. emelet"/>
      <sheetName val="V. emelet"/>
      <sheetName val="VI. emelet"/>
      <sheetName val="VII. emelet"/>
      <sheetName val="Összesíté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AF3" t="str">
            <v>napi 1</v>
          </cell>
        </row>
        <row r="4">
          <cell r="AF4" t="str">
            <v>napi 2</v>
          </cell>
        </row>
        <row r="5">
          <cell r="AF5" t="str">
            <v>napi 3</v>
          </cell>
        </row>
        <row r="6">
          <cell r="AF6" t="str">
            <v>hetente</v>
          </cell>
        </row>
        <row r="7">
          <cell r="AF7" t="str">
            <v>havonta</v>
          </cell>
        </row>
        <row r="8">
          <cell r="AF8" t="str">
            <v>negyedévente</v>
          </cell>
        </row>
        <row r="9">
          <cell r="AF9" t="str">
            <v>félévente</v>
          </cell>
        </row>
        <row r="10">
          <cell r="AF10" t="str">
            <v>évente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ce"/>
      <sheetName val="Fszt."/>
      <sheetName val="I. emelet"/>
      <sheetName val="II. emelet"/>
      <sheetName val="III. emelet"/>
      <sheetName val="IV. emelet"/>
      <sheetName val="V. emelet"/>
      <sheetName val="VI. emelet"/>
      <sheetName val="VII. emelet"/>
      <sheetName val="Üvegfelületek külső homlokzaton"/>
      <sheetName val="Összesít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H3" t="str">
            <v>A1</v>
          </cell>
        </row>
        <row r="4">
          <cell r="AH4" t="str">
            <v>A2 - műtő, ITO, SBO, KS</v>
          </cell>
        </row>
        <row r="5">
          <cell r="AH5" t="str">
            <v>B</v>
          </cell>
        </row>
        <row r="6">
          <cell r="AH6" t="str">
            <v>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ce"/>
      <sheetName val="Fszt."/>
      <sheetName val="I. emelet"/>
      <sheetName val="II. emelet"/>
      <sheetName val="III. emelet"/>
      <sheetName val="IV. emelet"/>
      <sheetName val="V. emelet"/>
      <sheetName val="VI. emelet"/>
      <sheetName val="VII. emelet"/>
      <sheetName val="Üvegfelületek külső homlokzaton"/>
      <sheetName val="Összesít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H3" t="str">
            <v>A1</v>
          </cell>
        </row>
        <row r="4">
          <cell r="AH4" t="str">
            <v>A2 - műtő, ITO, SBO, KS</v>
          </cell>
        </row>
        <row r="5">
          <cell r="AH5" t="str">
            <v>B</v>
          </cell>
        </row>
        <row r="6">
          <cell r="AH6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4"/>
  <sheetViews>
    <sheetView tabSelected="1" workbookViewId="0">
      <selection activeCell="A7" sqref="A7"/>
    </sheetView>
  </sheetViews>
  <sheetFormatPr defaultRowHeight="15" x14ac:dyDescent="0.25"/>
  <cols>
    <col min="1" max="1" width="105.5703125" style="64" customWidth="1"/>
  </cols>
  <sheetData>
    <row r="1" spans="1:1" ht="15.75" x14ac:dyDescent="0.25">
      <c r="A1" s="481" t="s">
        <v>1938</v>
      </c>
    </row>
    <row r="3" spans="1:1" ht="122.25" x14ac:dyDescent="0.25">
      <c r="A3" s="482" t="s">
        <v>2098</v>
      </c>
    </row>
    <row r="4" spans="1:1" ht="8.25" customHeight="1" x14ac:dyDescent="0.25">
      <c r="A4" s="482"/>
    </row>
    <row r="5" spans="1:1" ht="60" x14ac:dyDescent="0.25">
      <c r="A5" s="482" t="s">
        <v>2023</v>
      </c>
    </row>
    <row r="6" spans="1:1" ht="7.5" customHeight="1" x14ac:dyDescent="0.25">
      <c r="A6" s="482"/>
    </row>
    <row r="7" spans="1:1" ht="75" x14ac:dyDescent="0.25">
      <c r="A7" s="482" t="s">
        <v>2099</v>
      </c>
    </row>
    <row r="8" spans="1:1" x14ac:dyDescent="0.25">
      <c r="A8" s="482"/>
    </row>
    <row r="9" spans="1:1" x14ac:dyDescent="0.25">
      <c r="A9" s="64" t="s">
        <v>1778</v>
      </c>
    </row>
    <row r="10" spans="1:1" x14ac:dyDescent="0.25">
      <c r="A10" s="480" t="s">
        <v>1936</v>
      </c>
    </row>
    <row r="11" spans="1:1" ht="6.75" customHeight="1" x14ac:dyDescent="0.25">
      <c r="A11" s="480"/>
    </row>
    <row r="12" spans="1:1" ht="30" x14ac:dyDescent="0.25">
      <c r="A12" s="480" t="s">
        <v>1937</v>
      </c>
    </row>
    <row r="13" spans="1:1" ht="9" customHeight="1" x14ac:dyDescent="0.25">
      <c r="A13" s="480"/>
    </row>
    <row r="14" spans="1:1" ht="30" x14ac:dyDescent="0.25">
      <c r="A14" s="480" t="s">
        <v>1957</v>
      </c>
    </row>
    <row r="15" spans="1:1" ht="9" customHeight="1" x14ac:dyDescent="0.25">
      <c r="A15" s="480"/>
    </row>
    <row r="16" spans="1:1" ht="45" x14ac:dyDescent="0.25">
      <c r="A16" s="480" t="s">
        <v>2025</v>
      </c>
    </row>
    <row r="17" spans="1:1" ht="9" customHeight="1" x14ac:dyDescent="0.25"/>
    <row r="19" spans="1:1" ht="45" x14ac:dyDescent="0.25">
      <c r="A19" s="490" t="s">
        <v>2024</v>
      </c>
    </row>
    <row r="21" spans="1:1" x14ac:dyDescent="0.25">
      <c r="A21" s="490"/>
    </row>
    <row r="22" spans="1:1" x14ac:dyDescent="0.25">
      <c r="A22" s="480"/>
    </row>
    <row r="23" spans="1:1" x14ac:dyDescent="0.25">
      <c r="A23" s="480"/>
    </row>
    <row r="24" spans="1:1" x14ac:dyDescent="0.25">
      <c r="A24" s="480"/>
    </row>
  </sheetData>
  <sheetProtection password="87E5" sheet="1" objects="1" scenarios="1" selectLockedCells="1" selectUnlockedCells="1"/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I20" sqref="I20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18.85546875" bestFit="1" customWidth="1"/>
    <col min="5" max="5" width="7.140625" style="250" bestFit="1" customWidth="1"/>
    <col min="6" max="6" width="3.85546875" bestFit="1" customWidth="1"/>
    <col min="7" max="7" width="10.5703125" customWidth="1"/>
    <col min="8" max="8" width="14.28515625" customWidth="1"/>
    <col min="9" max="9" width="8.85546875" customWidth="1"/>
    <col min="10" max="10" width="10.140625" customWidth="1"/>
    <col min="11" max="11" width="25.85546875" style="64" customWidth="1"/>
    <col min="12" max="12" width="10.42578125" customWidth="1"/>
    <col min="13" max="13" width="7.7109375" customWidth="1"/>
    <col min="14" max="15" width="6" customWidth="1"/>
    <col min="16" max="16" width="7.28515625" customWidth="1"/>
    <col min="17" max="17" width="8" customWidth="1"/>
    <col min="18" max="18" width="8.5703125" customWidth="1"/>
    <col min="19" max="19" width="7.5703125" customWidth="1"/>
    <col min="20" max="20" width="7.28515625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25" s="15" customFormat="1" ht="15" customHeight="1" x14ac:dyDescent="0.25">
      <c r="A1" s="642" t="s">
        <v>125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s="15" customFormat="1" x14ac:dyDescent="0.25">
      <c r="A5" s="44" t="s">
        <v>0</v>
      </c>
      <c r="B5" s="44" t="s">
        <v>278</v>
      </c>
      <c r="C5" s="44" t="s">
        <v>1438</v>
      </c>
      <c r="D5" s="45" t="s">
        <v>1439</v>
      </c>
      <c r="E5" s="46">
        <v>12.5</v>
      </c>
      <c r="F5" s="44" t="s">
        <v>4</v>
      </c>
      <c r="G5" s="21" t="s">
        <v>77</v>
      </c>
      <c r="H5" s="180"/>
      <c r="I5" s="22"/>
      <c r="J5" s="6" t="s">
        <v>194</v>
      </c>
      <c r="K5" s="21" t="s">
        <v>2038</v>
      </c>
      <c r="L5" s="22" t="s">
        <v>6</v>
      </c>
      <c r="M5" s="22" t="s">
        <v>7</v>
      </c>
      <c r="N5" s="10">
        <v>1125</v>
      </c>
      <c r="O5" s="10">
        <v>2125</v>
      </c>
      <c r="P5" s="11">
        <f t="shared" ref="P5:P14" si="0">N5*O5*0.000001</f>
        <v>2.390625</v>
      </c>
      <c r="Q5" s="24"/>
      <c r="R5" s="24"/>
      <c r="S5" s="25">
        <v>11.73</v>
      </c>
      <c r="T5" s="25">
        <v>3</v>
      </c>
      <c r="U5" s="11">
        <f t="shared" ref="U5:U7" si="1">S5*T5-P5-Q5-X5-Y5</f>
        <v>32.799374999999998</v>
      </c>
      <c r="V5" s="24"/>
      <c r="W5" s="24"/>
      <c r="X5" s="25"/>
      <c r="Y5" s="24"/>
    </row>
    <row r="6" spans="1:25" s="15" customFormat="1" x14ac:dyDescent="0.25">
      <c r="A6" s="1" t="s">
        <v>0</v>
      </c>
      <c r="B6" s="1" t="s">
        <v>278</v>
      </c>
      <c r="C6" s="1" t="s">
        <v>1440</v>
      </c>
      <c r="D6" s="28" t="s">
        <v>1441</v>
      </c>
      <c r="E6" s="29">
        <v>113.7</v>
      </c>
      <c r="F6" s="1" t="s">
        <v>4</v>
      </c>
      <c r="G6" s="5" t="s">
        <v>77</v>
      </c>
      <c r="H6" s="181"/>
      <c r="I6" s="6"/>
      <c r="J6" s="6" t="s">
        <v>194</v>
      </c>
      <c r="K6" s="21" t="s">
        <v>2038</v>
      </c>
      <c r="L6" s="6" t="s">
        <v>1442</v>
      </c>
      <c r="M6" s="22" t="s">
        <v>7</v>
      </c>
      <c r="N6" s="10">
        <v>2000</v>
      </c>
      <c r="O6" s="10">
        <v>2400</v>
      </c>
      <c r="P6" s="11">
        <f t="shared" si="0"/>
        <v>4.8</v>
      </c>
      <c r="Q6" s="12"/>
      <c r="R6" s="12"/>
      <c r="S6" s="13">
        <v>60.93</v>
      </c>
      <c r="T6" s="13">
        <v>3</v>
      </c>
      <c r="U6" s="11">
        <f t="shared" si="1"/>
        <v>177.98999999999998</v>
      </c>
      <c r="V6" s="12"/>
      <c r="W6" s="12"/>
      <c r="X6" s="13"/>
      <c r="Y6" s="12"/>
    </row>
    <row r="7" spans="1:25" s="15" customFormat="1" ht="15.75" thickBot="1" x14ac:dyDescent="0.3">
      <c r="A7" s="207" t="s">
        <v>0</v>
      </c>
      <c r="B7" s="207" t="s">
        <v>278</v>
      </c>
      <c r="C7" s="207" t="s">
        <v>1443</v>
      </c>
      <c r="D7" s="17" t="s">
        <v>80</v>
      </c>
      <c r="E7" s="209">
        <v>4</v>
      </c>
      <c r="F7" s="207" t="s">
        <v>4</v>
      </c>
      <c r="G7" s="18" t="s">
        <v>77</v>
      </c>
      <c r="H7" s="231"/>
      <c r="I7" s="19"/>
      <c r="J7" s="19" t="s">
        <v>194</v>
      </c>
      <c r="K7" s="18" t="s">
        <v>2038</v>
      </c>
      <c r="L7" s="19" t="s">
        <v>6</v>
      </c>
      <c r="M7" s="19" t="s">
        <v>7</v>
      </c>
      <c r="N7" s="336">
        <v>1125</v>
      </c>
      <c r="O7" s="336">
        <v>2125</v>
      </c>
      <c r="P7" s="39">
        <f t="shared" si="0"/>
        <v>2.390625</v>
      </c>
      <c r="Q7" s="20"/>
      <c r="R7" s="20"/>
      <c r="S7" s="325">
        <v>8.3800000000000008</v>
      </c>
      <c r="T7" s="325">
        <v>3</v>
      </c>
      <c r="U7" s="39">
        <f t="shared" si="1"/>
        <v>22.749375000000001</v>
      </c>
      <c r="V7" s="20"/>
      <c r="W7" s="20"/>
      <c r="X7" s="325"/>
      <c r="Y7" s="20"/>
    </row>
    <row r="8" spans="1:25" ht="15.75" thickTop="1" x14ac:dyDescent="0.25">
      <c r="A8" s="44" t="s">
        <v>139</v>
      </c>
      <c r="B8" s="44" t="s">
        <v>278</v>
      </c>
      <c r="C8" s="44" t="s">
        <v>2088</v>
      </c>
      <c r="D8" s="44" t="s">
        <v>2089</v>
      </c>
      <c r="E8" s="46">
        <v>11.1</v>
      </c>
      <c r="F8" s="44" t="s">
        <v>4</v>
      </c>
      <c r="G8" s="22" t="s">
        <v>77</v>
      </c>
      <c r="H8" s="180"/>
      <c r="I8" s="21"/>
      <c r="J8" s="22"/>
      <c r="K8" s="21"/>
      <c r="L8" s="219" t="s">
        <v>6</v>
      </c>
      <c r="M8" s="24" t="s">
        <v>7</v>
      </c>
      <c r="N8" s="154">
        <v>1500</v>
      </c>
      <c r="O8" s="22">
        <v>2400</v>
      </c>
      <c r="P8" s="49">
        <f t="shared" si="0"/>
        <v>3.5999999999999996</v>
      </c>
      <c r="Q8" s="25"/>
      <c r="R8" s="24"/>
      <c r="S8" s="25">
        <v>16.47</v>
      </c>
      <c r="T8" s="24">
        <v>3</v>
      </c>
      <c r="U8" s="11">
        <f>S8*T8-P8-Q8-X8-Y8</f>
        <v>42.209999999999994</v>
      </c>
      <c r="V8" s="24"/>
      <c r="W8" s="24"/>
      <c r="X8" s="25"/>
      <c r="Y8" s="25">
        <v>3.6</v>
      </c>
    </row>
    <row r="9" spans="1:25" x14ac:dyDescent="0.25">
      <c r="A9" s="1" t="s">
        <v>139</v>
      </c>
      <c r="B9" s="1" t="s">
        <v>1</v>
      </c>
      <c r="C9" s="1" t="s">
        <v>1444</v>
      </c>
      <c r="D9" s="1" t="s">
        <v>1445</v>
      </c>
      <c r="E9" s="29">
        <v>39.799999999999997</v>
      </c>
      <c r="F9" s="1" t="s">
        <v>4</v>
      </c>
      <c r="G9" s="6" t="s">
        <v>77</v>
      </c>
      <c r="H9" s="181"/>
      <c r="I9" s="5"/>
      <c r="J9" s="22" t="s">
        <v>194</v>
      </c>
      <c r="K9" s="21" t="s">
        <v>2038</v>
      </c>
      <c r="L9" s="12" t="s">
        <v>6</v>
      </c>
      <c r="M9" s="12" t="s">
        <v>7</v>
      </c>
      <c r="N9" s="150">
        <v>1500</v>
      </c>
      <c r="O9" s="6">
        <v>2100</v>
      </c>
      <c r="P9" s="16">
        <f t="shared" si="0"/>
        <v>3.15</v>
      </c>
      <c r="Q9" s="25">
        <v>6</v>
      </c>
      <c r="R9" s="12">
        <v>2.25</v>
      </c>
      <c r="S9" s="13">
        <v>23.58</v>
      </c>
      <c r="T9" s="25">
        <v>3</v>
      </c>
      <c r="U9" s="11">
        <f>S9*T9-P9-Q9-X9-Y9</f>
        <v>61.589999999999989</v>
      </c>
      <c r="V9" s="12"/>
      <c r="W9" s="12"/>
      <c r="X9" s="13"/>
      <c r="Y9" s="13"/>
    </row>
    <row r="10" spans="1:25" x14ac:dyDescent="0.25">
      <c r="A10" s="1" t="s">
        <v>139</v>
      </c>
      <c r="B10" s="1" t="s">
        <v>1</v>
      </c>
      <c r="C10" s="1" t="s">
        <v>2090</v>
      </c>
      <c r="D10" s="1" t="s">
        <v>2091</v>
      </c>
      <c r="E10" s="29">
        <v>2.6</v>
      </c>
      <c r="F10" s="1" t="s">
        <v>4</v>
      </c>
      <c r="G10" s="6" t="s">
        <v>77</v>
      </c>
      <c r="H10" s="181"/>
      <c r="I10" s="5"/>
      <c r="J10" s="6"/>
      <c r="K10" s="5"/>
      <c r="L10" s="12" t="s">
        <v>81</v>
      </c>
      <c r="M10" s="12" t="s">
        <v>7</v>
      </c>
      <c r="N10" s="150">
        <v>750</v>
      </c>
      <c r="O10" s="6">
        <v>2100</v>
      </c>
      <c r="P10" s="35">
        <f t="shared" si="0"/>
        <v>1.575</v>
      </c>
      <c r="Q10" s="25">
        <v>0.52</v>
      </c>
      <c r="R10" s="12"/>
      <c r="S10" s="13">
        <v>6.71</v>
      </c>
      <c r="T10" s="24">
        <v>2.6</v>
      </c>
      <c r="U10" s="25"/>
      <c r="V10" s="12"/>
      <c r="W10" s="12"/>
      <c r="X10" s="47">
        <f>S10*T10-P10-Q10-Y10</f>
        <v>15.351000000000003</v>
      </c>
      <c r="Y10" s="13"/>
    </row>
    <row r="11" spans="1:25" x14ac:dyDescent="0.25">
      <c r="A11" s="1" t="s">
        <v>139</v>
      </c>
      <c r="B11" s="1" t="s">
        <v>1</v>
      </c>
      <c r="C11" s="1" t="s">
        <v>2092</v>
      </c>
      <c r="D11" s="1" t="s">
        <v>3</v>
      </c>
      <c r="E11" s="29">
        <v>2.5</v>
      </c>
      <c r="F11" s="1" t="s">
        <v>4</v>
      </c>
      <c r="G11" s="6" t="s">
        <v>77</v>
      </c>
      <c r="H11" s="181"/>
      <c r="I11" s="5"/>
      <c r="J11" s="6"/>
      <c r="K11" s="5"/>
      <c r="L11" s="12" t="s">
        <v>6</v>
      </c>
      <c r="M11" s="12" t="s">
        <v>7</v>
      </c>
      <c r="N11" s="161">
        <v>3450</v>
      </c>
      <c r="O11" s="162">
        <v>2100</v>
      </c>
      <c r="P11" s="16">
        <f t="shared" si="0"/>
        <v>7.2450000000000001</v>
      </c>
      <c r="Q11" s="25"/>
      <c r="R11" s="13"/>
      <c r="S11" s="13">
        <v>6.78</v>
      </c>
      <c r="T11" s="25">
        <v>2.6</v>
      </c>
      <c r="U11" s="25">
        <f>S11*T11-P11-Q11-X11-Y11</f>
        <v>3.3899999999999988</v>
      </c>
      <c r="V11" s="13"/>
      <c r="W11" s="13"/>
      <c r="X11" s="13">
        <f>(S11-N11/1000)*2.1</f>
        <v>6.9930000000000003</v>
      </c>
      <c r="Y11" s="13"/>
    </row>
    <row r="12" spans="1:25" x14ac:dyDescent="0.25">
      <c r="A12" s="1" t="s">
        <v>2093</v>
      </c>
      <c r="B12" s="1" t="s">
        <v>1</v>
      </c>
      <c r="C12" s="1" t="s">
        <v>2094</v>
      </c>
      <c r="D12" s="1" t="s">
        <v>2095</v>
      </c>
      <c r="E12" s="29">
        <v>9.6</v>
      </c>
      <c r="F12" s="1" t="s">
        <v>4</v>
      </c>
      <c r="G12" s="6" t="s">
        <v>77</v>
      </c>
      <c r="H12" s="181"/>
      <c r="I12" s="5"/>
      <c r="J12" s="6"/>
      <c r="K12" s="5"/>
      <c r="L12" s="12" t="s">
        <v>6</v>
      </c>
      <c r="M12" s="12" t="s">
        <v>7</v>
      </c>
      <c r="N12" s="161">
        <v>1650</v>
      </c>
      <c r="O12" s="162">
        <v>2100</v>
      </c>
      <c r="P12" s="16">
        <f t="shared" si="0"/>
        <v>3.4649999999999999</v>
      </c>
      <c r="Q12" s="25"/>
      <c r="R12" s="13"/>
      <c r="S12" s="13">
        <v>8.7100000000000009</v>
      </c>
      <c r="T12" s="25">
        <v>3</v>
      </c>
      <c r="U12" s="11">
        <f>S12*T12-P12-Q12-X12-Y12</f>
        <v>19.465000000000003</v>
      </c>
      <c r="V12" s="13"/>
      <c r="W12" s="13"/>
      <c r="X12" s="13">
        <v>3.2</v>
      </c>
      <c r="Y12" s="13"/>
    </row>
    <row r="13" spans="1:25" x14ac:dyDescent="0.25">
      <c r="A13" s="1" t="s">
        <v>139</v>
      </c>
      <c r="B13" s="1" t="s">
        <v>1</v>
      </c>
      <c r="C13" s="1" t="s">
        <v>2096</v>
      </c>
      <c r="D13" s="1" t="s">
        <v>715</v>
      </c>
      <c r="E13" s="29">
        <v>2.7</v>
      </c>
      <c r="F13" s="1" t="s">
        <v>4</v>
      </c>
      <c r="G13" s="6" t="s">
        <v>77</v>
      </c>
      <c r="H13" s="181"/>
      <c r="I13" s="5"/>
      <c r="J13" s="6"/>
      <c r="K13" s="5"/>
      <c r="L13" s="12" t="s">
        <v>6</v>
      </c>
      <c r="M13" s="12" t="s">
        <v>7</v>
      </c>
      <c r="N13" s="161">
        <v>750</v>
      </c>
      <c r="O13" s="162">
        <v>2100</v>
      </c>
      <c r="P13" s="16">
        <f t="shared" si="0"/>
        <v>1.575</v>
      </c>
      <c r="Q13" s="25"/>
      <c r="R13" s="13"/>
      <c r="S13" s="13">
        <v>7.11</v>
      </c>
      <c r="T13" s="25">
        <v>2.6</v>
      </c>
      <c r="U13" s="25"/>
      <c r="V13" s="13"/>
      <c r="W13" s="13"/>
      <c r="X13" s="47">
        <f>S13*T13-P13-Q13-Y13</f>
        <v>16.911000000000001</v>
      </c>
      <c r="Y13" s="13"/>
    </row>
    <row r="14" spans="1:25" x14ac:dyDescent="0.25">
      <c r="A14" s="151" t="s">
        <v>139</v>
      </c>
      <c r="B14" s="1" t="s">
        <v>1</v>
      </c>
      <c r="C14" s="1" t="s">
        <v>1446</v>
      </c>
      <c r="D14" s="1" t="s">
        <v>164</v>
      </c>
      <c r="E14" s="29">
        <v>21.1</v>
      </c>
      <c r="F14" s="1" t="s">
        <v>4</v>
      </c>
      <c r="G14" s="6" t="s">
        <v>77</v>
      </c>
      <c r="H14" s="181"/>
      <c r="I14" s="5"/>
      <c r="J14" s="6" t="s">
        <v>194</v>
      </c>
      <c r="K14" s="21" t="s">
        <v>2038</v>
      </c>
      <c r="L14" s="12" t="s">
        <v>6</v>
      </c>
      <c r="M14" s="179" t="s">
        <v>84</v>
      </c>
      <c r="N14" s="161">
        <v>2270</v>
      </c>
      <c r="O14" s="162">
        <v>3800</v>
      </c>
      <c r="P14" s="16">
        <f t="shared" si="0"/>
        <v>8.6259999999999994</v>
      </c>
      <c r="Q14" s="25">
        <v>3</v>
      </c>
      <c r="R14" s="13">
        <v>2.25</v>
      </c>
      <c r="S14" s="13">
        <v>21.71</v>
      </c>
      <c r="T14" s="25">
        <v>3.8</v>
      </c>
      <c r="U14" s="11">
        <f>S14*(T14-2.7)</f>
        <v>23.880999999999993</v>
      </c>
      <c r="V14" s="13"/>
      <c r="W14" s="13"/>
      <c r="X14" s="13">
        <f>S14*2.7-P14-Y14</f>
        <v>31.231000000000005</v>
      </c>
      <c r="Y14" s="13">
        <v>18.760000000000002</v>
      </c>
    </row>
    <row r="15" spans="1:25" ht="17.25" x14ac:dyDescent="0.25">
      <c r="C15" s="280" t="s">
        <v>1447</v>
      </c>
      <c r="D15" s="284"/>
      <c r="E15" s="286">
        <f>SUM(E5:E14)</f>
        <v>219.59999999999994</v>
      </c>
      <c r="F15" s="284" t="s">
        <v>1560</v>
      </c>
      <c r="K15"/>
    </row>
    <row r="16" spans="1:25" x14ac:dyDescent="0.25">
      <c r="K16"/>
    </row>
    <row r="17" spans="3:11" x14ac:dyDescent="0.25">
      <c r="C17" s="278" t="s">
        <v>1807</v>
      </c>
      <c r="D17" s="342"/>
      <c r="E17" s="358"/>
      <c r="F17" s="65"/>
      <c r="K17"/>
    </row>
    <row r="18" spans="3:11" ht="17.25" x14ac:dyDescent="0.25">
      <c r="C18" s="65"/>
      <c r="D18" s="358" t="s">
        <v>1808</v>
      </c>
      <c r="E18" s="345">
        <v>0</v>
      </c>
      <c r="F18" s="342" t="s">
        <v>1560</v>
      </c>
      <c r="K18"/>
    </row>
    <row r="19" spans="3:11" ht="17.25" x14ac:dyDescent="0.25">
      <c r="C19" s="65"/>
      <c r="D19" s="358" t="s">
        <v>37</v>
      </c>
      <c r="E19" s="345">
        <v>0</v>
      </c>
      <c r="F19" s="342" t="s">
        <v>1560</v>
      </c>
      <c r="K19"/>
    </row>
    <row r="20" spans="3:11" ht="17.25" x14ac:dyDescent="0.25">
      <c r="C20" s="65"/>
      <c r="D20" s="358" t="s">
        <v>77</v>
      </c>
      <c r="E20" s="345">
        <f>SUM(E5:E7)+E9</f>
        <v>170</v>
      </c>
      <c r="F20" s="342" t="s">
        <v>1560</v>
      </c>
      <c r="K20"/>
    </row>
    <row r="21" spans="3:11" ht="17.25" x14ac:dyDescent="0.25">
      <c r="C21" s="65"/>
      <c r="D21" s="358" t="s">
        <v>229</v>
      </c>
      <c r="E21" s="345">
        <v>0</v>
      </c>
      <c r="F21" s="342" t="s">
        <v>1560</v>
      </c>
      <c r="K21"/>
    </row>
    <row r="22" spans="3:11" ht="17.25" x14ac:dyDescent="0.25">
      <c r="C22" s="65"/>
      <c r="D22" s="359" t="s">
        <v>274</v>
      </c>
      <c r="E22" s="345">
        <f>SUM(E18:E21)</f>
        <v>170</v>
      </c>
      <c r="F22" s="342" t="s">
        <v>1560</v>
      </c>
      <c r="K22"/>
    </row>
    <row r="23" spans="3:11" x14ac:dyDescent="0.25">
      <c r="K23"/>
    </row>
    <row r="24" spans="3:11" x14ac:dyDescent="0.25">
      <c r="C24" s="284" t="s">
        <v>2039</v>
      </c>
      <c r="D24" s="305"/>
      <c r="K24"/>
    </row>
    <row r="25" spans="3:11" x14ac:dyDescent="0.25">
      <c r="C25" s="504" t="s">
        <v>2040</v>
      </c>
      <c r="D25" s="305"/>
      <c r="E25" s="503" t="s">
        <v>1971</v>
      </c>
      <c r="K25"/>
    </row>
    <row r="26" spans="3:11" x14ac:dyDescent="0.25">
      <c r="C26" s="284" t="s">
        <v>2076</v>
      </c>
      <c r="D26" s="305"/>
      <c r="K26"/>
    </row>
    <row r="27" spans="3:11" x14ac:dyDescent="0.25">
      <c r="K27"/>
    </row>
    <row r="28" spans="3:11" x14ac:dyDescent="0.25">
      <c r="C28" s="664" t="s">
        <v>2097</v>
      </c>
      <c r="D28" s="664"/>
      <c r="E28" s="664"/>
      <c r="F28" s="664"/>
      <c r="G28" s="664"/>
      <c r="K28"/>
    </row>
    <row r="29" spans="3:11" x14ac:dyDescent="0.25">
      <c r="C29" s="664"/>
      <c r="D29" s="664"/>
      <c r="E29" s="664"/>
      <c r="F29" s="664"/>
      <c r="G29" s="664"/>
      <c r="K29"/>
    </row>
    <row r="30" spans="3:11" x14ac:dyDescent="0.25">
      <c r="C30" s="664"/>
      <c r="D30" s="664"/>
      <c r="E30" s="664"/>
      <c r="F30" s="664"/>
      <c r="G30" s="664"/>
      <c r="K30"/>
    </row>
    <row r="31" spans="3:11" x14ac:dyDescent="0.25">
      <c r="K31"/>
    </row>
    <row r="32" spans="3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  <row r="56" spans="11:11" x14ac:dyDescent="0.25">
      <c r="K56"/>
    </row>
    <row r="57" spans="11:11" x14ac:dyDescent="0.25">
      <c r="K57"/>
    </row>
    <row r="58" spans="11:11" x14ac:dyDescent="0.25">
      <c r="K58"/>
    </row>
    <row r="59" spans="11:11" x14ac:dyDescent="0.25">
      <c r="K59"/>
    </row>
    <row r="60" spans="11:11" x14ac:dyDescent="0.25">
      <c r="K60"/>
    </row>
    <row r="61" spans="11:11" x14ac:dyDescent="0.25">
      <c r="K61"/>
    </row>
    <row r="62" spans="11:11" x14ac:dyDescent="0.25">
      <c r="K62"/>
    </row>
    <row r="63" spans="11:11" x14ac:dyDescent="0.25">
      <c r="K63"/>
    </row>
    <row r="64" spans="11:11" x14ac:dyDescent="0.25">
      <c r="K64"/>
    </row>
    <row r="65" spans="11:11" x14ac:dyDescent="0.25">
      <c r="K65"/>
    </row>
    <row r="66" spans="11:11" x14ac:dyDescent="0.25">
      <c r="K66"/>
    </row>
    <row r="67" spans="11:11" x14ac:dyDescent="0.25">
      <c r="K67"/>
    </row>
    <row r="68" spans="11:11" x14ac:dyDescent="0.25">
      <c r="K68"/>
    </row>
    <row r="69" spans="11:11" x14ac:dyDescent="0.25">
      <c r="K69"/>
    </row>
    <row r="70" spans="11:11" x14ac:dyDescent="0.25">
      <c r="K70"/>
    </row>
    <row r="71" spans="11:11" x14ac:dyDescent="0.25">
      <c r="K71"/>
    </row>
    <row r="72" spans="11:11" x14ac:dyDescent="0.25">
      <c r="K72"/>
    </row>
    <row r="73" spans="11:11" x14ac:dyDescent="0.25">
      <c r="K73"/>
    </row>
    <row r="74" spans="11:11" x14ac:dyDescent="0.25">
      <c r="K74"/>
    </row>
    <row r="75" spans="11:11" x14ac:dyDescent="0.25">
      <c r="K75"/>
    </row>
    <row r="76" spans="11:11" x14ac:dyDescent="0.25">
      <c r="K76"/>
    </row>
    <row r="77" spans="11:11" x14ac:dyDescent="0.25">
      <c r="K77"/>
    </row>
    <row r="78" spans="11:11" x14ac:dyDescent="0.25">
      <c r="K78"/>
    </row>
    <row r="79" spans="11:11" x14ac:dyDescent="0.25">
      <c r="K79"/>
    </row>
  </sheetData>
  <sheetProtection password="87E5" sheet="1" objects="1" scenarios="1"/>
  <mergeCells count="27">
    <mergeCell ref="K1:K4"/>
    <mergeCell ref="L1:L4"/>
    <mergeCell ref="M1:O4"/>
    <mergeCell ref="H1:H4"/>
    <mergeCell ref="A1:F2"/>
    <mergeCell ref="A3:A4"/>
    <mergeCell ref="B3:B4"/>
    <mergeCell ref="C3:C4"/>
    <mergeCell ref="D3:D4"/>
    <mergeCell ref="E3:F4"/>
    <mergeCell ref="G1:G4"/>
    <mergeCell ref="C28:G30"/>
    <mergeCell ref="U1:X1"/>
    <mergeCell ref="Y1:Y4"/>
    <mergeCell ref="U2:V2"/>
    <mergeCell ref="W2:X2"/>
    <mergeCell ref="U3:U4"/>
    <mergeCell ref="V3:V4"/>
    <mergeCell ref="W3:W4"/>
    <mergeCell ref="X3:X4"/>
    <mergeCell ref="P1:P4"/>
    <mergeCell ref="Q1:Q4"/>
    <mergeCell ref="R1:R4"/>
    <mergeCell ref="S1:S4"/>
    <mergeCell ref="T1:T4"/>
    <mergeCell ref="I1:I4"/>
    <mergeCell ref="J1:J4"/>
  </mergeCells>
  <dataValidations count="1">
    <dataValidation type="list" allowBlank="1" showInputMessage="1" showErrorMessage="1" sqref="G5:G7">
      <formula1>kat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50" fitToHeight="0" orientation="landscape" r:id="rId1"/>
  <headerFooter>
    <oddFooter>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zoomScale="90" zoomScaleNormal="90" workbookViewId="0">
      <pane xSplit="7" ySplit="4" topLeftCell="H87" activePane="bottomRight" state="frozen"/>
      <selection pane="topRight" activeCell="H1" sqref="H1"/>
      <selection pane="bottomLeft" activeCell="A5" sqref="A5"/>
      <selection pane="bottomRight" activeCell="C106" sqref="C106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17.85546875" style="64" bestFit="1" customWidth="1"/>
    <col min="5" max="5" width="8.7109375" style="171" bestFit="1" customWidth="1"/>
    <col min="6" max="6" width="3.7109375" bestFit="1" customWidth="1"/>
    <col min="7" max="7" width="11.140625" customWidth="1"/>
    <col min="8" max="8" width="15.140625" customWidth="1"/>
    <col min="9" max="9" width="15.42578125" customWidth="1"/>
    <col min="10" max="10" width="19.28515625" customWidth="1"/>
    <col min="11" max="11" width="25.7109375" customWidth="1"/>
    <col min="12" max="12" width="9.7109375" customWidth="1"/>
    <col min="13" max="13" width="7.7109375" customWidth="1"/>
    <col min="14" max="14" width="7.140625" customWidth="1"/>
    <col min="15" max="15" width="5.5703125" customWidth="1"/>
    <col min="16" max="16" width="7" customWidth="1"/>
    <col min="17" max="17" width="7.28515625" customWidth="1"/>
    <col min="18" max="18" width="8.5703125" customWidth="1"/>
    <col min="19" max="19" width="7.85546875" customWidth="1"/>
    <col min="20" max="20" width="7" customWidth="1"/>
    <col min="21" max="21" width="7.85546875" customWidth="1"/>
    <col min="22" max="22" width="7.140625" customWidth="1"/>
    <col min="23" max="23" width="7.28515625" customWidth="1"/>
    <col min="24" max="24" width="8.140625" customWidth="1"/>
    <col min="25" max="25" width="9.140625" customWidth="1"/>
  </cols>
  <sheetData>
    <row r="1" spans="1:25" s="15" customFormat="1" ht="15" customHeight="1" x14ac:dyDescent="0.25">
      <c r="A1" s="642" t="s">
        <v>867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1588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x14ac:dyDescent="0.25">
      <c r="A3" s="660" t="s">
        <v>129</v>
      </c>
      <c r="B3" s="662" t="s">
        <v>130</v>
      </c>
      <c r="C3" s="662" t="s">
        <v>131</v>
      </c>
      <c r="D3" s="625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52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ht="30" x14ac:dyDescent="0.25">
      <c r="A5" s="44" t="s">
        <v>139</v>
      </c>
      <c r="B5" s="44" t="s">
        <v>278</v>
      </c>
      <c r="C5" s="44" t="s">
        <v>745</v>
      </c>
      <c r="D5" s="45" t="s">
        <v>17</v>
      </c>
      <c r="E5" s="176">
        <v>17.8</v>
      </c>
      <c r="F5" s="44" t="s">
        <v>4</v>
      </c>
      <c r="G5" s="22" t="s">
        <v>5</v>
      </c>
      <c r="H5" s="180" t="s">
        <v>738</v>
      </c>
      <c r="I5" s="21"/>
      <c r="J5" s="22"/>
      <c r="K5" s="21" t="s">
        <v>2041</v>
      </c>
      <c r="L5" s="219" t="s">
        <v>10</v>
      </c>
      <c r="M5" s="24" t="s">
        <v>7</v>
      </c>
      <c r="N5" s="154">
        <v>2875</v>
      </c>
      <c r="O5" s="22">
        <v>2125</v>
      </c>
      <c r="P5" s="49">
        <f t="shared" ref="P5:P68" si="0">N5*O5*0.000001</f>
        <v>6.109375</v>
      </c>
      <c r="Q5" s="25"/>
      <c r="R5" s="24"/>
      <c r="S5" s="25">
        <v>19.559999999999999</v>
      </c>
      <c r="T5" s="24">
        <v>3</v>
      </c>
      <c r="U5" s="11">
        <f t="shared" ref="U5:U7" si="1">S5*T5-P5-Q5-X5-Y5</f>
        <v>52.570624999999993</v>
      </c>
      <c r="V5" s="24"/>
      <c r="W5" s="24"/>
      <c r="X5" s="25"/>
      <c r="Y5" s="25"/>
    </row>
    <row r="6" spans="1:25" ht="30" x14ac:dyDescent="0.25">
      <c r="A6" s="1" t="s">
        <v>139</v>
      </c>
      <c r="B6" s="1" t="s">
        <v>278</v>
      </c>
      <c r="C6" s="1" t="s">
        <v>746</v>
      </c>
      <c r="D6" s="28" t="s">
        <v>9</v>
      </c>
      <c r="E6" s="164">
        <v>2</v>
      </c>
      <c r="F6" s="1" t="s">
        <v>4</v>
      </c>
      <c r="G6" s="6" t="s">
        <v>5</v>
      </c>
      <c r="H6" s="181" t="s">
        <v>738</v>
      </c>
      <c r="I6" s="5"/>
      <c r="J6" s="6"/>
      <c r="K6" s="21" t="s">
        <v>2041</v>
      </c>
      <c r="L6" s="179" t="s">
        <v>10</v>
      </c>
      <c r="M6" s="12" t="s">
        <v>7</v>
      </c>
      <c r="N6" s="150">
        <v>1750</v>
      </c>
      <c r="O6" s="22">
        <v>2125</v>
      </c>
      <c r="P6" s="49">
        <f t="shared" si="0"/>
        <v>3.71875</v>
      </c>
      <c r="Q6" s="13"/>
      <c r="R6" s="12"/>
      <c r="S6" s="13">
        <v>5.8</v>
      </c>
      <c r="T6" s="12">
        <v>3</v>
      </c>
      <c r="U6" s="11">
        <f t="shared" si="1"/>
        <v>13.681249999999999</v>
      </c>
      <c r="V6" s="12"/>
      <c r="W6" s="12"/>
      <c r="X6" s="13"/>
      <c r="Y6" s="13"/>
    </row>
    <row r="7" spans="1:25" s="178" customFormat="1" ht="30.75" thickBot="1" x14ac:dyDescent="0.3">
      <c r="A7" s="207" t="s">
        <v>139</v>
      </c>
      <c r="B7" s="207" t="s">
        <v>278</v>
      </c>
      <c r="C7" s="207" t="s">
        <v>747</v>
      </c>
      <c r="D7" s="17" t="s">
        <v>32</v>
      </c>
      <c r="E7" s="230">
        <v>15.1</v>
      </c>
      <c r="F7" s="207" t="s">
        <v>4</v>
      </c>
      <c r="G7" s="19" t="s">
        <v>5</v>
      </c>
      <c r="H7" s="231" t="s">
        <v>738</v>
      </c>
      <c r="I7" s="18"/>
      <c r="J7" s="19"/>
      <c r="K7" s="18" t="s">
        <v>2041</v>
      </c>
      <c r="L7" s="232" t="s">
        <v>10</v>
      </c>
      <c r="M7" s="20" t="s">
        <v>7</v>
      </c>
      <c r="N7" s="321">
        <v>1750</v>
      </c>
      <c r="O7" s="19">
        <v>2125</v>
      </c>
      <c r="P7" s="322">
        <f t="shared" si="0"/>
        <v>3.71875</v>
      </c>
      <c r="Q7" s="325"/>
      <c r="R7" s="20"/>
      <c r="S7" s="325">
        <v>18.010000000000002</v>
      </c>
      <c r="T7" s="20">
        <v>3</v>
      </c>
      <c r="U7" s="39">
        <f t="shared" si="1"/>
        <v>50.311250000000001</v>
      </c>
      <c r="V7" s="20"/>
      <c r="W7" s="20"/>
      <c r="X7" s="325"/>
      <c r="Y7" s="325"/>
    </row>
    <row r="8" spans="1:25" ht="30.75" thickTop="1" x14ac:dyDescent="0.25">
      <c r="A8" s="147" t="s">
        <v>748</v>
      </c>
      <c r="B8" s="147" t="s">
        <v>278</v>
      </c>
      <c r="C8" s="147" t="s">
        <v>749</v>
      </c>
      <c r="D8" s="94" t="s">
        <v>460</v>
      </c>
      <c r="E8" s="175">
        <v>9.8000000000000007</v>
      </c>
      <c r="F8" s="147" t="s">
        <v>4</v>
      </c>
      <c r="G8" s="21" t="s">
        <v>5</v>
      </c>
      <c r="H8" s="180" t="s">
        <v>738</v>
      </c>
      <c r="I8" s="21"/>
      <c r="J8" s="21"/>
      <c r="K8" s="21" t="s">
        <v>1449</v>
      </c>
      <c r="L8" s="24" t="s">
        <v>6</v>
      </c>
      <c r="M8" s="22" t="s">
        <v>7</v>
      </c>
      <c r="N8" s="154">
        <v>1125</v>
      </c>
      <c r="O8" s="22">
        <v>2125</v>
      </c>
      <c r="P8" s="49">
        <f t="shared" si="0"/>
        <v>2.390625</v>
      </c>
      <c r="Q8" s="24"/>
      <c r="R8" s="24"/>
      <c r="S8" s="24">
        <v>12.56</v>
      </c>
      <c r="T8" s="24">
        <v>2.6</v>
      </c>
      <c r="U8" s="49">
        <f>S8*T8-P8-Q8-X8-Y8</f>
        <v>30.265375000000006</v>
      </c>
      <c r="V8" s="155"/>
      <c r="W8" s="155"/>
      <c r="X8" s="155"/>
      <c r="Y8" s="24"/>
    </row>
    <row r="9" spans="1:25" ht="30" x14ac:dyDescent="0.25">
      <c r="A9" s="151" t="s">
        <v>748</v>
      </c>
      <c r="B9" s="151" t="s">
        <v>278</v>
      </c>
      <c r="C9" s="151" t="s">
        <v>750</v>
      </c>
      <c r="D9" s="86" t="s">
        <v>368</v>
      </c>
      <c r="E9" s="170">
        <v>4.9000000000000004</v>
      </c>
      <c r="F9" s="151" t="s">
        <v>4</v>
      </c>
      <c r="G9" s="5" t="s">
        <v>5</v>
      </c>
      <c r="H9" s="181" t="s">
        <v>738</v>
      </c>
      <c r="I9" s="5"/>
      <c r="J9" s="21"/>
      <c r="K9" s="5" t="s">
        <v>1449</v>
      </c>
      <c r="L9" s="12" t="s">
        <v>6</v>
      </c>
      <c r="M9" s="22" t="s">
        <v>7</v>
      </c>
      <c r="N9" s="150">
        <v>875</v>
      </c>
      <c r="O9" s="22">
        <v>2125</v>
      </c>
      <c r="P9" s="49">
        <f t="shared" si="0"/>
        <v>1.859375</v>
      </c>
      <c r="Q9" s="12"/>
      <c r="R9" s="12"/>
      <c r="S9" s="12">
        <v>8.8800000000000008</v>
      </c>
      <c r="T9" s="12">
        <v>2.6</v>
      </c>
      <c r="U9" s="35">
        <f>S9*T9-P9-Q9-X9-Y9</f>
        <v>21.228625000000005</v>
      </c>
      <c r="V9" s="152"/>
      <c r="W9" s="152"/>
      <c r="X9" s="152"/>
      <c r="Y9" s="12"/>
    </row>
    <row r="10" spans="1:25" ht="45" x14ac:dyDescent="0.25">
      <c r="A10" s="145" t="s">
        <v>748</v>
      </c>
      <c r="B10" s="145" t="s">
        <v>228</v>
      </c>
      <c r="C10" s="145" t="s">
        <v>752</v>
      </c>
      <c r="D10" s="100" t="s">
        <v>148</v>
      </c>
      <c r="E10" s="168">
        <v>15.5</v>
      </c>
      <c r="F10" s="145" t="s">
        <v>4</v>
      </c>
      <c r="G10" s="5" t="s">
        <v>437</v>
      </c>
      <c r="H10" s="181" t="s">
        <v>738</v>
      </c>
      <c r="I10" s="5" t="s">
        <v>753</v>
      </c>
      <c r="J10" s="5" t="s">
        <v>754</v>
      </c>
      <c r="K10" s="5" t="s">
        <v>1449</v>
      </c>
      <c r="L10" s="12" t="s">
        <v>6</v>
      </c>
      <c r="M10" s="22" t="s">
        <v>388</v>
      </c>
      <c r="N10" s="150">
        <v>4800</v>
      </c>
      <c r="O10" s="22">
        <v>2125</v>
      </c>
      <c r="P10" s="49">
        <f t="shared" si="0"/>
        <v>10.199999999999999</v>
      </c>
      <c r="Q10" s="12"/>
      <c r="R10" s="12"/>
      <c r="S10" s="12">
        <v>16.16</v>
      </c>
      <c r="T10" s="12">
        <v>3</v>
      </c>
      <c r="U10" s="49">
        <f>S10*T10-P10-Q10-X10-Y10</f>
        <v>33.309999999999995</v>
      </c>
      <c r="V10" s="152"/>
      <c r="W10" s="152"/>
      <c r="X10" s="152">
        <v>3.2</v>
      </c>
      <c r="Y10" s="12">
        <v>1.77</v>
      </c>
    </row>
    <row r="11" spans="1:25" ht="45" x14ac:dyDescent="0.25">
      <c r="A11" s="145" t="s">
        <v>748</v>
      </c>
      <c r="B11" s="145" t="s">
        <v>228</v>
      </c>
      <c r="C11" s="145" t="s">
        <v>755</v>
      </c>
      <c r="D11" s="100" t="s">
        <v>3</v>
      </c>
      <c r="E11" s="168">
        <v>1.3</v>
      </c>
      <c r="F11" s="145" t="s">
        <v>4</v>
      </c>
      <c r="G11" s="5" t="s">
        <v>437</v>
      </c>
      <c r="H11" s="181" t="s">
        <v>738</v>
      </c>
      <c r="I11" s="5" t="s">
        <v>753</v>
      </c>
      <c r="J11" s="5" t="s">
        <v>754</v>
      </c>
      <c r="K11" s="5" t="s">
        <v>1449</v>
      </c>
      <c r="L11" s="12" t="s">
        <v>6</v>
      </c>
      <c r="M11" s="22" t="s">
        <v>7</v>
      </c>
      <c r="N11" s="150">
        <v>2500</v>
      </c>
      <c r="O11" s="22">
        <v>2125</v>
      </c>
      <c r="P11" s="49">
        <f t="shared" si="0"/>
        <v>5.3125</v>
      </c>
      <c r="Q11" s="12"/>
      <c r="R11" s="12"/>
      <c r="S11" s="12">
        <v>4.5999999999999996</v>
      </c>
      <c r="T11" s="12">
        <v>2.6</v>
      </c>
      <c r="U11" s="49">
        <f>S11*T11-P11-Q11-X11-Y11</f>
        <v>6.6474999999999991</v>
      </c>
      <c r="V11" s="152"/>
      <c r="W11" s="152"/>
      <c r="X11" s="152"/>
      <c r="Y11" s="12"/>
    </row>
    <row r="12" spans="1:25" ht="45" x14ac:dyDescent="0.25">
      <c r="A12" s="145" t="s">
        <v>748</v>
      </c>
      <c r="B12" s="145" t="s">
        <v>228</v>
      </c>
      <c r="C12" s="145" t="s">
        <v>757</v>
      </c>
      <c r="D12" s="100" t="s">
        <v>65</v>
      </c>
      <c r="E12" s="168">
        <v>1.2</v>
      </c>
      <c r="F12" s="145" t="s">
        <v>4</v>
      </c>
      <c r="G12" s="5" t="s">
        <v>437</v>
      </c>
      <c r="H12" s="181" t="s">
        <v>738</v>
      </c>
      <c r="I12" s="5" t="s">
        <v>753</v>
      </c>
      <c r="J12" s="5" t="s">
        <v>754</v>
      </c>
      <c r="K12" s="5" t="s">
        <v>1449</v>
      </c>
      <c r="L12" s="12" t="s">
        <v>6</v>
      </c>
      <c r="M12" s="22" t="s">
        <v>7</v>
      </c>
      <c r="N12" s="150">
        <v>750</v>
      </c>
      <c r="O12" s="22">
        <v>2125</v>
      </c>
      <c r="P12" s="49">
        <f t="shared" si="0"/>
        <v>1.59375</v>
      </c>
      <c r="Q12" s="12"/>
      <c r="R12" s="12"/>
      <c r="S12" s="12">
        <v>4.1500000000000004</v>
      </c>
      <c r="T12" s="12">
        <v>2.6</v>
      </c>
      <c r="U12" s="152"/>
      <c r="V12" s="152"/>
      <c r="W12" s="152"/>
      <c r="X12" s="152">
        <f>S12*T12-P12</f>
        <v>9.1962500000000009</v>
      </c>
      <c r="Y12" s="12"/>
    </row>
    <row r="13" spans="1:25" ht="45" x14ac:dyDescent="0.25">
      <c r="A13" s="145" t="s">
        <v>748</v>
      </c>
      <c r="B13" s="145" t="s">
        <v>228</v>
      </c>
      <c r="C13" s="145" t="s">
        <v>758</v>
      </c>
      <c r="D13" s="100" t="s">
        <v>468</v>
      </c>
      <c r="E13" s="168">
        <v>5.3</v>
      </c>
      <c r="F13" s="145" t="s">
        <v>4</v>
      </c>
      <c r="G13" s="5" t="s">
        <v>437</v>
      </c>
      <c r="H13" s="181" t="s">
        <v>738</v>
      </c>
      <c r="I13" s="5" t="s">
        <v>753</v>
      </c>
      <c r="J13" s="5" t="s">
        <v>754</v>
      </c>
      <c r="K13" s="5" t="s">
        <v>1449</v>
      </c>
      <c r="L13" s="12" t="s">
        <v>6</v>
      </c>
      <c r="M13" s="22" t="s">
        <v>7</v>
      </c>
      <c r="N13" s="150">
        <v>1750</v>
      </c>
      <c r="O13" s="22">
        <v>2125</v>
      </c>
      <c r="P13" s="49">
        <f t="shared" si="0"/>
        <v>3.71875</v>
      </c>
      <c r="Q13" s="12"/>
      <c r="R13" s="12"/>
      <c r="S13" s="12">
        <v>11.74</v>
      </c>
      <c r="T13" s="12">
        <v>2.6</v>
      </c>
      <c r="U13" s="35">
        <f>S13*T13-P13-Q13-X13-Y13</f>
        <v>19.52525</v>
      </c>
      <c r="V13" s="152"/>
      <c r="W13" s="152"/>
      <c r="X13" s="152">
        <v>7.28</v>
      </c>
      <c r="Y13" s="12"/>
    </row>
    <row r="14" spans="1:25" ht="45" x14ac:dyDescent="0.25">
      <c r="A14" s="145" t="s">
        <v>748</v>
      </c>
      <c r="B14" s="145" t="s">
        <v>228</v>
      </c>
      <c r="C14" s="145" t="s">
        <v>760</v>
      </c>
      <c r="D14" s="100" t="s">
        <v>220</v>
      </c>
      <c r="E14" s="168">
        <v>0.8</v>
      </c>
      <c r="F14" s="145" t="s">
        <v>4</v>
      </c>
      <c r="G14" s="5" t="s">
        <v>437</v>
      </c>
      <c r="H14" s="181" t="s">
        <v>738</v>
      </c>
      <c r="I14" s="5" t="s">
        <v>753</v>
      </c>
      <c r="J14" s="5" t="s">
        <v>754</v>
      </c>
      <c r="K14" s="5" t="s">
        <v>1449</v>
      </c>
      <c r="L14" s="12" t="s">
        <v>81</v>
      </c>
      <c r="M14" s="22" t="s">
        <v>7</v>
      </c>
      <c r="N14" s="150">
        <v>900</v>
      </c>
      <c r="O14" s="22">
        <v>2000</v>
      </c>
      <c r="P14" s="49">
        <f t="shared" si="0"/>
        <v>1.7999999999999998</v>
      </c>
      <c r="Q14" s="12"/>
      <c r="R14" s="12"/>
      <c r="S14" s="12">
        <v>0</v>
      </c>
      <c r="T14" s="12">
        <v>2.6</v>
      </c>
      <c r="U14" s="152"/>
      <c r="V14" s="152"/>
      <c r="W14" s="152"/>
      <c r="X14" s="152"/>
      <c r="Y14" s="12"/>
    </row>
    <row r="15" spans="1:25" ht="45" x14ac:dyDescent="0.25">
      <c r="A15" s="145" t="s">
        <v>748</v>
      </c>
      <c r="B15" s="145" t="s">
        <v>228</v>
      </c>
      <c r="C15" s="145" t="s">
        <v>762</v>
      </c>
      <c r="D15" s="100" t="s">
        <v>224</v>
      </c>
      <c r="E15" s="168">
        <v>1.5</v>
      </c>
      <c r="F15" s="145" t="s">
        <v>4</v>
      </c>
      <c r="G15" s="5" t="s">
        <v>437</v>
      </c>
      <c r="H15" s="181" t="s">
        <v>738</v>
      </c>
      <c r="I15" s="5" t="s">
        <v>753</v>
      </c>
      <c r="J15" s="5" t="s">
        <v>754</v>
      </c>
      <c r="K15" s="5" t="s">
        <v>1449</v>
      </c>
      <c r="L15" s="12" t="s">
        <v>6</v>
      </c>
      <c r="M15" s="22" t="s">
        <v>7</v>
      </c>
      <c r="N15" s="150">
        <v>875</v>
      </c>
      <c r="O15" s="22">
        <v>2125</v>
      </c>
      <c r="P15" s="49">
        <f t="shared" si="0"/>
        <v>1.859375</v>
      </c>
      <c r="Q15" s="12"/>
      <c r="R15" s="12"/>
      <c r="S15" s="12">
        <v>5.13</v>
      </c>
      <c r="T15" s="12">
        <v>2.6</v>
      </c>
      <c r="U15" s="155"/>
      <c r="V15" s="152"/>
      <c r="W15" s="152"/>
      <c r="X15" s="152">
        <f>S15*T15-P15</f>
        <v>11.478625000000001</v>
      </c>
      <c r="Y15" s="12"/>
    </row>
    <row r="16" spans="1:25" ht="45" x14ac:dyDescent="0.25">
      <c r="A16" s="145" t="s">
        <v>748</v>
      </c>
      <c r="B16" s="145" t="s">
        <v>228</v>
      </c>
      <c r="C16" s="145" t="s">
        <v>763</v>
      </c>
      <c r="D16" s="100" t="s">
        <v>3</v>
      </c>
      <c r="E16" s="168">
        <v>1.4</v>
      </c>
      <c r="F16" s="145" t="s">
        <v>4</v>
      </c>
      <c r="G16" s="5" t="s">
        <v>437</v>
      </c>
      <c r="H16" s="181" t="s">
        <v>738</v>
      </c>
      <c r="I16" s="5" t="s">
        <v>753</v>
      </c>
      <c r="J16" s="5" t="s">
        <v>754</v>
      </c>
      <c r="K16" s="5" t="s">
        <v>1449</v>
      </c>
      <c r="L16" s="12" t="s">
        <v>6</v>
      </c>
      <c r="M16" s="22" t="s">
        <v>7</v>
      </c>
      <c r="N16" s="150">
        <v>2500</v>
      </c>
      <c r="O16" s="22">
        <v>2125</v>
      </c>
      <c r="P16" s="49">
        <f t="shared" si="0"/>
        <v>5.3125</v>
      </c>
      <c r="Q16" s="12"/>
      <c r="R16" s="12"/>
      <c r="S16" s="12">
        <v>4.55</v>
      </c>
      <c r="T16" s="12">
        <v>2.6</v>
      </c>
      <c r="U16" s="35">
        <f>S16*T16-P16-Q16-X16-Y16</f>
        <v>6.5175000000000001</v>
      </c>
      <c r="V16" s="152"/>
      <c r="W16" s="152"/>
      <c r="X16" s="152"/>
      <c r="Y16" s="12"/>
    </row>
    <row r="17" spans="1:25" ht="45" x14ac:dyDescent="0.25">
      <c r="A17" s="145" t="s">
        <v>748</v>
      </c>
      <c r="B17" s="145" t="s">
        <v>228</v>
      </c>
      <c r="C17" s="145" t="s">
        <v>764</v>
      </c>
      <c r="D17" s="100" t="s">
        <v>65</v>
      </c>
      <c r="E17" s="168">
        <v>1.1000000000000001</v>
      </c>
      <c r="F17" s="145" t="s">
        <v>4</v>
      </c>
      <c r="G17" s="5" t="s">
        <v>437</v>
      </c>
      <c r="H17" s="181" t="s">
        <v>738</v>
      </c>
      <c r="I17" s="5" t="s">
        <v>753</v>
      </c>
      <c r="J17" s="5" t="s">
        <v>754</v>
      </c>
      <c r="K17" s="5" t="s">
        <v>1449</v>
      </c>
      <c r="L17" s="12" t="s">
        <v>6</v>
      </c>
      <c r="M17" s="22" t="s">
        <v>7</v>
      </c>
      <c r="N17" s="150">
        <v>750</v>
      </c>
      <c r="O17" s="22">
        <v>2125</v>
      </c>
      <c r="P17" s="49">
        <f t="shared" si="0"/>
        <v>1.59375</v>
      </c>
      <c r="Q17" s="12"/>
      <c r="R17" s="12"/>
      <c r="S17" s="12">
        <v>3.88</v>
      </c>
      <c r="T17" s="12">
        <v>2.6</v>
      </c>
      <c r="U17" s="152"/>
      <c r="V17" s="152"/>
      <c r="W17" s="152"/>
      <c r="X17" s="152">
        <f>S17*T17-P17</f>
        <v>8.4942499999999992</v>
      </c>
      <c r="Y17" s="12"/>
    </row>
    <row r="18" spans="1:25" ht="45" x14ac:dyDescent="0.25">
      <c r="A18" s="145" t="s">
        <v>748</v>
      </c>
      <c r="B18" s="145" t="s">
        <v>228</v>
      </c>
      <c r="C18" s="145" t="s">
        <v>765</v>
      </c>
      <c r="D18" s="100" t="s">
        <v>468</v>
      </c>
      <c r="E18" s="168">
        <v>4.3</v>
      </c>
      <c r="F18" s="145" t="s">
        <v>4</v>
      </c>
      <c r="G18" s="5" t="s">
        <v>437</v>
      </c>
      <c r="H18" s="181" t="s">
        <v>738</v>
      </c>
      <c r="I18" s="5" t="s">
        <v>753</v>
      </c>
      <c r="J18" s="5" t="s">
        <v>754</v>
      </c>
      <c r="K18" s="5" t="s">
        <v>1449</v>
      </c>
      <c r="L18" s="12" t="s">
        <v>81</v>
      </c>
      <c r="M18" s="22" t="s">
        <v>7</v>
      </c>
      <c r="N18" s="150">
        <v>1750</v>
      </c>
      <c r="O18" s="22">
        <v>2125</v>
      </c>
      <c r="P18" s="49">
        <f t="shared" si="0"/>
        <v>3.71875</v>
      </c>
      <c r="Q18" s="12"/>
      <c r="R18" s="12"/>
      <c r="S18" s="12">
        <v>10.31</v>
      </c>
      <c r="T18" s="12">
        <v>2.6</v>
      </c>
      <c r="U18" s="35">
        <f>S18*T18-P18-Q18-X18-Y18</f>
        <v>15.80725</v>
      </c>
      <c r="V18" s="152"/>
      <c r="W18" s="152"/>
      <c r="X18" s="152">
        <v>7.28</v>
      </c>
      <c r="Y18" s="12"/>
    </row>
    <row r="19" spans="1:25" ht="45" x14ac:dyDescent="0.25">
      <c r="A19" s="145" t="s">
        <v>748</v>
      </c>
      <c r="B19" s="145" t="s">
        <v>228</v>
      </c>
      <c r="C19" s="145" t="s">
        <v>766</v>
      </c>
      <c r="D19" s="100" t="s">
        <v>220</v>
      </c>
      <c r="E19" s="168">
        <v>0.8</v>
      </c>
      <c r="F19" s="145" t="s">
        <v>4</v>
      </c>
      <c r="G19" s="5" t="s">
        <v>437</v>
      </c>
      <c r="H19" s="181" t="s">
        <v>738</v>
      </c>
      <c r="I19" s="5" t="s">
        <v>753</v>
      </c>
      <c r="J19" s="5" t="s">
        <v>754</v>
      </c>
      <c r="K19" s="5" t="s">
        <v>1449</v>
      </c>
      <c r="L19" s="12" t="s">
        <v>81</v>
      </c>
      <c r="M19" s="22" t="s">
        <v>7</v>
      </c>
      <c r="N19" s="150">
        <v>900</v>
      </c>
      <c r="O19" s="22">
        <v>2000</v>
      </c>
      <c r="P19" s="49">
        <f t="shared" si="0"/>
        <v>1.7999999999999998</v>
      </c>
      <c r="Q19" s="12"/>
      <c r="R19" s="12"/>
      <c r="S19" s="12">
        <v>0</v>
      </c>
      <c r="T19" s="12">
        <v>2.6</v>
      </c>
      <c r="U19" s="152"/>
      <c r="V19" s="152"/>
      <c r="W19" s="152"/>
      <c r="X19" s="152"/>
      <c r="Y19" s="12"/>
    </row>
    <row r="20" spans="1:25" ht="45" x14ac:dyDescent="0.25">
      <c r="A20" s="145" t="s">
        <v>748</v>
      </c>
      <c r="B20" s="145" t="s">
        <v>228</v>
      </c>
      <c r="C20" s="145" t="s">
        <v>767</v>
      </c>
      <c r="D20" s="100" t="s">
        <v>3</v>
      </c>
      <c r="E20" s="168">
        <v>1.2</v>
      </c>
      <c r="F20" s="145" t="s">
        <v>4</v>
      </c>
      <c r="G20" s="5" t="s">
        <v>437</v>
      </c>
      <c r="H20" s="181" t="s">
        <v>738</v>
      </c>
      <c r="I20" s="5" t="s">
        <v>753</v>
      </c>
      <c r="J20" s="5" t="s">
        <v>754</v>
      </c>
      <c r="K20" s="5" t="s">
        <v>1449</v>
      </c>
      <c r="L20" s="12" t="s">
        <v>6</v>
      </c>
      <c r="M20" s="22" t="s">
        <v>7</v>
      </c>
      <c r="N20" s="150">
        <v>2625</v>
      </c>
      <c r="O20" s="22">
        <v>2125</v>
      </c>
      <c r="P20" s="49">
        <f t="shared" si="0"/>
        <v>5.578125</v>
      </c>
      <c r="Q20" s="12"/>
      <c r="R20" s="12"/>
      <c r="S20" s="12">
        <v>4.34</v>
      </c>
      <c r="T20" s="12">
        <v>2.6</v>
      </c>
      <c r="U20" s="155"/>
      <c r="V20" s="152"/>
      <c r="W20" s="152"/>
      <c r="X20" s="152">
        <f>S20*T20-P20</f>
        <v>5.7058750000000007</v>
      </c>
      <c r="Y20" s="12"/>
    </row>
    <row r="21" spans="1:25" ht="45" x14ac:dyDescent="0.25">
      <c r="A21" s="145" t="s">
        <v>748</v>
      </c>
      <c r="B21" s="145" t="s">
        <v>228</v>
      </c>
      <c r="C21" s="145" t="s">
        <v>768</v>
      </c>
      <c r="D21" s="100" t="s">
        <v>769</v>
      </c>
      <c r="E21" s="168">
        <v>3.1</v>
      </c>
      <c r="F21" s="145" t="s">
        <v>4</v>
      </c>
      <c r="G21" s="5" t="s">
        <v>437</v>
      </c>
      <c r="H21" s="181" t="s">
        <v>738</v>
      </c>
      <c r="I21" s="5" t="s">
        <v>753</v>
      </c>
      <c r="J21" s="5" t="s">
        <v>754</v>
      </c>
      <c r="K21" s="5" t="s">
        <v>1449</v>
      </c>
      <c r="L21" s="12" t="s">
        <v>81</v>
      </c>
      <c r="M21" s="22" t="s">
        <v>7</v>
      </c>
      <c r="N21" s="150">
        <v>1625</v>
      </c>
      <c r="O21" s="22">
        <v>2125</v>
      </c>
      <c r="P21" s="49">
        <f t="shared" si="0"/>
        <v>3.453125</v>
      </c>
      <c r="Q21" s="12"/>
      <c r="R21" s="12"/>
      <c r="S21" s="12">
        <v>9.89</v>
      </c>
      <c r="T21" s="12">
        <v>2.6</v>
      </c>
      <c r="U21" s="152"/>
      <c r="V21" s="152"/>
      <c r="W21" s="152"/>
      <c r="X21" s="152">
        <f>S21*T21-P21</f>
        <v>22.260875000000002</v>
      </c>
      <c r="Y21" s="12"/>
    </row>
    <row r="22" spans="1:25" ht="45" x14ac:dyDescent="0.25">
      <c r="A22" s="145" t="s">
        <v>748</v>
      </c>
      <c r="B22" s="145" t="s">
        <v>228</v>
      </c>
      <c r="C22" s="145" t="s">
        <v>770</v>
      </c>
      <c r="D22" s="100" t="s">
        <v>65</v>
      </c>
      <c r="E22" s="168">
        <v>1.2</v>
      </c>
      <c r="F22" s="145" t="s">
        <v>4</v>
      </c>
      <c r="G22" s="5" t="s">
        <v>437</v>
      </c>
      <c r="H22" s="181" t="s">
        <v>738</v>
      </c>
      <c r="I22" s="5" t="s">
        <v>753</v>
      </c>
      <c r="J22" s="5" t="s">
        <v>754</v>
      </c>
      <c r="K22" s="5" t="s">
        <v>1449</v>
      </c>
      <c r="L22" s="12" t="s">
        <v>6</v>
      </c>
      <c r="M22" s="22" t="s">
        <v>7</v>
      </c>
      <c r="N22" s="150">
        <v>750</v>
      </c>
      <c r="O22" s="22">
        <v>2125</v>
      </c>
      <c r="P22" s="49">
        <f t="shared" si="0"/>
        <v>1.59375</v>
      </c>
      <c r="Q22" s="12"/>
      <c r="R22" s="12"/>
      <c r="S22" s="12">
        <v>4.58</v>
      </c>
      <c r="T22" s="12">
        <v>2.6</v>
      </c>
      <c r="U22" s="152"/>
      <c r="V22" s="152"/>
      <c r="W22" s="152"/>
      <c r="X22" s="152">
        <f>S22*T22-P22</f>
        <v>10.314250000000001</v>
      </c>
      <c r="Y22" s="12"/>
    </row>
    <row r="23" spans="1:25" ht="45" x14ac:dyDescent="0.25">
      <c r="A23" s="145" t="s">
        <v>748</v>
      </c>
      <c r="B23" s="145" t="s">
        <v>228</v>
      </c>
      <c r="C23" s="145" t="s">
        <v>772</v>
      </c>
      <c r="D23" s="100" t="s">
        <v>220</v>
      </c>
      <c r="E23" s="168">
        <v>1.1000000000000001</v>
      </c>
      <c r="F23" s="145" t="s">
        <v>4</v>
      </c>
      <c r="G23" s="5" t="s">
        <v>437</v>
      </c>
      <c r="H23" s="181" t="s">
        <v>738</v>
      </c>
      <c r="I23" s="5" t="s">
        <v>753</v>
      </c>
      <c r="J23" s="5" t="s">
        <v>754</v>
      </c>
      <c r="K23" s="5" t="s">
        <v>1449</v>
      </c>
      <c r="L23" s="12" t="s">
        <v>81</v>
      </c>
      <c r="M23" s="22" t="s">
        <v>7</v>
      </c>
      <c r="N23" s="150">
        <v>900</v>
      </c>
      <c r="O23" s="22">
        <v>2000</v>
      </c>
      <c r="P23" s="49">
        <f t="shared" si="0"/>
        <v>1.7999999999999998</v>
      </c>
      <c r="Q23" s="12"/>
      <c r="R23" s="12"/>
      <c r="S23" s="12">
        <v>0</v>
      </c>
      <c r="T23" s="12">
        <v>2.6</v>
      </c>
      <c r="U23" s="152"/>
      <c r="V23" s="152"/>
      <c r="W23" s="152"/>
      <c r="X23" s="152"/>
      <c r="Y23" s="12"/>
    </row>
    <row r="24" spans="1:25" ht="45" x14ac:dyDescent="0.25">
      <c r="A24" s="145" t="s">
        <v>748</v>
      </c>
      <c r="B24" s="145" t="s">
        <v>228</v>
      </c>
      <c r="C24" s="145" t="s">
        <v>773</v>
      </c>
      <c r="D24" s="100" t="s">
        <v>730</v>
      </c>
      <c r="E24" s="168">
        <v>3.4</v>
      </c>
      <c r="F24" s="145" t="s">
        <v>4</v>
      </c>
      <c r="G24" s="5" t="s">
        <v>437</v>
      </c>
      <c r="H24" s="181" t="s">
        <v>738</v>
      </c>
      <c r="I24" s="5" t="s">
        <v>753</v>
      </c>
      <c r="J24" s="5" t="s">
        <v>754</v>
      </c>
      <c r="K24" s="5" t="s">
        <v>1449</v>
      </c>
      <c r="L24" s="12" t="s">
        <v>6</v>
      </c>
      <c r="M24" s="22" t="s">
        <v>7</v>
      </c>
      <c r="N24" s="150">
        <v>2375</v>
      </c>
      <c r="O24" s="22">
        <v>2125</v>
      </c>
      <c r="P24" s="49">
        <f t="shared" si="0"/>
        <v>5.046875</v>
      </c>
      <c r="Q24" s="12"/>
      <c r="R24" s="12"/>
      <c r="S24" s="12">
        <v>8.1300000000000008</v>
      </c>
      <c r="T24" s="12">
        <v>2.6</v>
      </c>
      <c r="U24" s="155"/>
      <c r="V24" s="152"/>
      <c r="W24" s="152"/>
      <c r="X24" s="152">
        <f>S24*T24-P24</f>
        <v>16.091125000000002</v>
      </c>
      <c r="Y24" s="12"/>
    </row>
    <row r="25" spans="1:25" ht="45" x14ac:dyDescent="0.25">
      <c r="A25" s="145" t="s">
        <v>748</v>
      </c>
      <c r="B25" s="145" t="s">
        <v>228</v>
      </c>
      <c r="C25" s="145" t="s">
        <v>774</v>
      </c>
      <c r="D25" s="100" t="s">
        <v>65</v>
      </c>
      <c r="E25" s="168">
        <v>1.1000000000000001</v>
      </c>
      <c r="F25" s="145" t="s">
        <v>4</v>
      </c>
      <c r="G25" s="5" t="s">
        <v>437</v>
      </c>
      <c r="H25" s="181" t="s">
        <v>738</v>
      </c>
      <c r="I25" s="5" t="s">
        <v>753</v>
      </c>
      <c r="J25" s="5" t="s">
        <v>754</v>
      </c>
      <c r="K25" s="5" t="s">
        <v>1449</v>
      </c>
      <c r="L25" s="12" t="s">
        <v>6</v>
      </c>
      <c r="M25" s="22" t="s">
        <v>7</v>
      </c>
      <c r="N25" s="150">
        <v>750</v>
      </c>
      <c r="O25" s="22">
        <v>2125</v>
      </c>
      <c r="P25" s="49">
        <f t="shared" si="0"/>
        <v>1.59375</v>
      </c>
      <c r="Q25" s="12"/>
      <c r="R25" s="12"/>
      <c r="S25" s="12">
        <v>4.28</v>
      </c>
      <c r="T25" s="12">
        <v>2.6</v>
      </c>
      <c r="U25" s="155"/>
      <c r="V25" s="152"/>
      <c r="W25" s="152"/>
      <c r="X25" s="152">
        <f>S25*T25-P25</f>
        <v>9.5342500000000019</v>
      </c>
      <c r="Y25" s="12"/>
    </row>
    <row r="26" spans="1:25" ht="45" x14ac:dyDescent="0.25">
      <c r="A26" s="145" t="s">
        <v>748</v>
      </c>
      <c r="B26" s="145" t="s">
        <v>228</v>
      </c>
      <c r="C26" s="145" t="s">
        <v>775</v>
      </c>
      <c r="D26" s="100" t="s">
        <v>220</v>
      </c>
      <c r="E26" s="168">
        <v>1.7</v>
      </c>
      <c r="F26" s="145" t="s">
        <v>4</v>
      </c>
      <c r="G26" s="5" t="s">
        <v>437</v>
      </c>
      <c r="H26" s="181" t="s">
        <v>738</v>
      </c>
      <c r="I26" s="5" t="s">
        <v>753</v>
      </c>
      <c r="J26" s="5" t="s">
        <v>754</v>
      </c>
      <c r="K26" s="5" t="s">
        <v>1449</v>
      </c>
      <c r="L26" s="12" t="s">
        <v>81</v>
      </c>
      <c r="M26" s="22" t="s">
        <v>7</v>
      </c>
      <c r="N26" s="150">
        <v>750</v>
      </c>
      <c r="O26" s="22">
        <v>2125</v>
      </c>
      <c r="P26" s="49">
        <f t="shared" si="0"/>
        <v>1.59375</v>
      </c>
      <c r="Q26" s="12"/>
      <c r="R26" s="12"/>
      <c r="S26" s="12">
        <v>5.7</v>
      </c>
      <c r="T26" s="12">
        <v>2.6</v>
      </c>
      <c r="U26" s="152"/>
      <c r="V26" s="152"/>
      <c r="W26" s="152"/>
      <c r="X26" s="152">
        <f>S26*T26-P26</f>
        <v>13.22625</v>
      </c>
      <c r="Y26" s="12"/>
    </row>
    <row r="27" spans="1:25" ht="45" x14ac:dyDescent="0.25">
      <c r="A27" s="145" t="s">
        <v>748</v>
      </c>
      <c r="B27" s="145" t="s">
        <v>228</v>
      </c>
      <c r="C27" s="145" t="s">
        <v>776</v>
      </c>
      <c r="D27" s="100" t="s">
        <v>777</v>
      </c>
      <c r="E27" s="168">
        <v>8.9</v>
      </c>
      <c r="F27" s="145" t="s">
        <v>4</v>
      </c>
      <c r="G27" s="5" t="s">
        <v>437</v>
      </c>
      <c r="H27" s="181" t="s">
        <v>738</v>
      </c>
      <c r="I27" s="5" t="s">
        <v>753</v>
      </c>
      <c r="J27" s="5" t="s">
        <v>754</v>
      </c>
      <c r="K27" s="5" t="s">
        <v>1449</v>
      </c>
      <c r="L27" s="12" t="s">
        <v>6</v>
      </c>
      <c r="M27" s="22" t="s">
        <v>7</v>
      </c>
      <c r="N27" s="150">
        <v>1750</v>
      </c>
      <c r="O27" s="22">
        <v>2125</v>
      </c>
      <c r="P27" s="49">
        <f t="shared" si="0"/>
        <v>3.71875</v>
      </c>
      <c r="Q27" s="12"/>
      <c r="R27" s="12"/>
      <c r="S27" s="12">
        <v>12.12</v>
      </c>
      <c r="T27" s="12">
        <v>2.6</v>
      </c>
      <c r="U27" s="35">
        <f>S27*T27-P27-Q27-X27-Y27</f>
        <v>25.79325</v>
      </c>
      <c r="V27" s="152"/>
      <c r="W27" s="152"/>
      <c r="X27" s="152">
        <v>2</v>
      </c>
      <c r="Y27" s="12"/>
    </row>
    <row r="28" spans="1:25" ht="45" x14ac:dyDescent="0.25">
      <c r="A28" s="145" t="s">
        <v>748</v>
      </c>
      <c r="B28" s="145" t="s">
        <v>228</v>
      </c>
      <c r="C28" s="145" t="s">
        <v>779</v>
      </c>
      <c r="D28" s="100" t="s">
        <v>55</v>
      </c>
      <c r="E28" s="168">
        <v>36.4</v>
      </c>
      <c r="F28" s="145" t="s">
        <v>4</v>
      </c>
      <c r="G28" s="5" t="s">
        <v>437</v>
      </c>
      <c r="H28" s="181" t="s">
        <v>738</v>
      </c>
      <c r="I28" s="5" t="s">
        <v>753</v>
      </c>
      <c r="J28" s="5" t="s">
        <v>754</v>
      </c>
      <c r="K28" s="5" t="s">
        <v>1449</v>
      </c>
      <c r="L28" s="12" t="s">
        <v>6</v>
      </c>
      <c r="M28" s="22" t="s">
        <v>388</v>
      </c>
      <c r="N28" s="150">
        <v>20050</v>
      </c>
      <c r="O28" s="22">
        <v>2125</v>
      </c>
      <c r="P28" s="49">
        <f t="shared" si="0"/>
        <v>42.606249999999996</v>
      </c>
      <c r="Q28" s="12"/>
      <c r="R28" s="12"/>
      <c r="S28" s="12">
        <v>34.92</v>
      </c>
      <c r="T28" s="12">
        <v>3</v>
      </c>
      <c r="U28" s="49"/>
      <c r="V28" s="152">
        <f>S28*T28-P28-Q28-X28-Y28</f>
        <v>62.153750000000009</v>
      </c>
      <c r="W28" s="152"/>
      <c r="X28" s="152"/>
      <c r="Y28" s="12"/>
    </row>
    <row r="29" spans="1:25" ht="45" x14ac:dyDescent="0.25">
      <c r="A29" s="145" t="s">
        <v>748</v>
      </c>
      <c r="B29" s="145" t="s">
        <v>228</v>
      </c>
      <c r="C29" s="145" t="s">
        <v>781</v>
      </c>
      <c r="D29" s="100" t="s">
        <v>55</v>
      </c>
      <c r="E29" s="168">
        <v>122.7</v>
      </c>
      <c r="F29" s="145" t="s">
        <v>4</v>
      </c>
      <c r="G29" s="5" t="s">
        <v>437</v>
      </c>
      <c r="H29" s="181" t="s">
        <v>738</v>
      </c>
      <c r="I29" s="5" t="s">
        <v>753</v>
      </c>
      <c r="J29" s="5" t="s">
        <v>754</v>
      </c>
      <c r="K29" s="5" t="s">
        <v>1449</v>
      </c>
      <c r="L29" s="12" t="s">
        <v>6</v>
      </c>
      <c r="M29" s="22" t="s">
        <v>388</v>
      </c>
      <c r="N29" s="150">
        <v>46075</v>
      </c>
      <c r="O29" s="22">
        <v>2125</v>
      </c>
      <c r="P29" s="49">
        <f t="shared" si="0"/>
        <v>97.909374999999997</v>
      </c>
      <c r="Q29" s="12">
        <v>4.1399999999999997</v>
      </c>
      <c r="R29" s="12"/>
      <c r="S29" s="12">
        <v>99.99</v>
      </c>
      <c r="T29" s="12">
        <v>3</v>
      </c>
      <c r="U29" s="35"/>
      <c r="V29" s="152">
        <f>S29*T29-P29-Q29-X29-Y29</f>
        <v>170.43062499999996</v>
      </c>
      <c r="W29" s="152"/>
      <c r="X29" s="152"/>
      <c r="Y29" s="12">
        <v>27.49</v>
      </c>
    </row>
    <row r="30" spans="1:25" ht="45" x14ac:dyDescent="0.25">
      <c r="A30" s="145" t="s">
        <v>748</v>
      </c>
      <c r="B30" s="145" t="s">
        <v>228</v>
      </c>
      <c r="C30" s="145" t="s">
        <v>782</v>
      </c>
      <c r="D30" s="100" t="s">
        <v>783</v>
      </c>
      <c r="E30" s="168">
        <v>5.9</v>
      </c>
      <c r="F30" s="145" t="s">
        <v>4</v>
      </c>
      <c r="G30" s="5" t="s">
        <v>437</v>
      </c>
      <c r="H30" s="181" t="s">
        <v>738</v>
      </c>
      <c r="I30" s="5" t="s">
        <v>753</v>
      </c>
      <c r="J30" s="5" t="s">
        <v>754</v>
      </c>
      <c r="K30" s="5" t="s">
        <v>1449</v>
      </c>
      <c r="L30" s="12" t="s">
        <v>6</v>
      </c>
      <c r="M30" s="22" t="s">
        <v>7</v>
      </c>
      <c r="N30" s="150">
        <v>875</v>
      </c>
      <c r="O30" s="22">
        <v>2125</v>
      </c>
      <c r="P30" s="49">
        <f t="shared" si="0"/>
        <v>1.859375</v>
      </c>
      <c r="Q30" s="12"/>
      <c r="R30" s="12"/>
      <c r="S30" s="12">
        <v>10.1</v>
      </c>
      <c r="T30" s="12">
        <v>2.6</v>
      </c>
      <c r="U30" s="35">
        <f>S30*T30-P30-Q30-X30-Y30</f>
        <v>5.0281250000000028</v>
      </c>
      <c r="V30" s="152"/>
      <c r="W30" s="152"/>
      <c r="X30" s="152">
        <f>(S30-0.875)*2.1</f>
        <v>19.372499999999999</v>
      </c>
      <c r="Y30" s="12"/>
    </row>
    <row r="31" spans="1:25" ht="45" x14ac:dyDescent="0.25">
      <c r="A31" s="145" t="s">
        <v>748</v>
      </c>
      <c r="B31" s="145" t="s">
        <v>228</v>
      </c>
      <c r="C31" s="145" t="s">
        <v>785</v>
      </c>
      <c r="D31" s="100" t="s">
        <v>151</v>
      </c>
      <c r="E31" s="168">
        <v>5.8</v>
      </c>
      <c r="F31" s="145" t="s">
        <v>4</v>
      </c>
      <c r="G31" s="5" t="s">
        <v>437</v>
      </c>
      <c r="H31" s="181" t="s">
        <v>738</v>
      </c>
      <c r="I31" s="5" t="s">
        <v>753</v>
      </c>
      <c r="J31" s="5" t="s">
        <v>754</v>
      </c>
      <c r="K31" s="5" t="s">
        <v>1449</v>
      </c>
      <c r="L31" s="12" t="s">
        <v>6</v>
      </c>
      <c r="M31" s="22" t="s">
        <v>7</v>
      </c>
      <c r="N31" s="150">
        <v>875</v>
      </c>
      <c r="O31" s="22">
        <v>2125</v>
      </c>
      <c r="P31" s="49">
        <f t="shared" si="0"/>
        <v>1.859375</v>
      </c>
      <c r="Q31" s="12"/>
      <c r="R31" s="12"/>
      <c r="S31" s="12">
        <v>10.02</v>
      </c>
      <c r="T31" s="12">
        <v>2.6</v>
      </c>
      <c r="U31" s="35">
        <f>S31*T31-P31-Q31-X31-Y31</f>
        <v>4.9881250000000001</v>
      </c>
      <c r="V31" s="152"/>
      <c r="W31" s="152"/>
      <c r="X31" s="152">
        <f>(S31-0.875)*2.1</f>
        <v>19.204499999999999</v>
      </c>
      <c r="Y31" s="12"/>
    </row>
    <row r="32" spans="1:25" ht="45" x14ac:dyDescent="0.25">
      <c r="A32" s="145" t="s">
        <v>748</v>
      </c>
      <c r="B32" s="145" t="s">
        <v>228</v>
      </c>
      <c r="C32" s="145" t="s">
        <v>787</v>
      </c>
      <c r="D32" s="100" t="s">
        <v>224</v>
      </c>
      <c r="E32" s="168">
        <v>1.9</v>
      </c>
      <c r="F32" s="145" t="s">
        <v>4</v>
      </c>
      <c r="G32" s="5" t="s">
        <v>437</v>
      </c>
      <c r="H32" s="181" t="s">
        <v>738</v>
      </c>
      <c r="I32" s="5" t="s">
        <v>753</v>
      </c>
      <c r="J32" s="5" t="s">
        <v>754</v>
      </c>
      <c r="K32" s="5" t="s">
        <v>1449</v>
      </c>
      <c r="L32" s="12" t="s">
        <v>6</v>
      </c>
      <c r="M32" s="22" t="s">
        <v>7</v>
      </c>
      <c r="N32" s="150">
        <v>875</v>
      </c>
      <c r="O32" s="22">
        <v>2125</v>
      </c>
      <c r="P32" s="49">
        <f t="shared" si="0"/>
        <v>1.859375</v>
      </c>
      <c r="Q32" s="12"/>
      <c r="R32" s="12"/>
      <c r="S32" s="12">
        <v>5.69</v>
      </c>
      <c r="T32" s="12">
        <v>2.6</v>
      </c>
      <c r="U32" s="152"/>
      <c r="V32" s="152"/>
      <c r="W32" s="152"/>
      <c r="X32" s="152">
        <f>S32*T32-P32</f>
        <v>12.934625000000002</v>
      </c>
      <c r="Y32" s="12"/>
    </row>
    <row r="33" spans="1:25" ht="45" x14ac:dyDescent="0.25">
      <c r="A33" s="145" t="s">
        <v>748</v>
      </c>
      <c r="B33" s="145" t="s">
        <v>228</v>
      </c>
      <c r="C33" s="145" t="s">
        <v>789</v>
      </c>
      <c r="D33" s="100" t="s">
        <v>436</v>
      </c>
      <c r="E33" s="168">
        <v>2.2000000000000002</v>
      </c>
      <c r="F33" s="145" t="s">
        <v>4</v>
      </c>
      <c r="G33" s="5" t="s">
        <v>437</v>
      </c>
      <c r="H33" s="181" t="s">
        <v>738</v>
      </c>
      <c r="I33" s="5" t="s">
        <v>753</v>
      </c>
      <c r="J33" s="5" t="s">
        <v>754</v>
      </c>
      <c r="K33" s="5" t="s">
        <v>1449</v>
      </c>
      <c r="L33" s="12" t="s">
        <v>81</v>
      </c>
      <c r="M33" s="22" t="s">
        <v>7</v>
      </c>
      <c r="N33" s="150">
        <v>875</v>
      </c>
      <c r="O33" s="22">
        <v>2125</v>
      </c>
      <c r="P33" s="49">
        <f t="shared" si="0"/>
        <v>1.859375</v>
      </c>
      <c r="Q33" s="12"/>
      <c r="R33" s="12"/>
      <c r="S33" s="12">
        <v>6.09</v>
      </c>
      <c r="T33" s="12">
        <v>2.6</v>
      </c>
      <c r="U33" s="155"/>
      <c r="V33" s="152"/>
      <c r="W33" s="152"/>
      <c r="X33" s="152">
        <f>S33*T33-P33</f>
        <v>13.974625</v>
      </c>
      <c r="Y33" s="12"/>
    </row>
    <row r="34" spans="1:25" ht="45" x14ac:dyDescent="0.25">
      <c r="A34" s="145" t="s">
        <v>748</v>
      </c>
      <c r="B34" s="145" t="s">
        <v>228</v>
      </c>
      <c r="C34" s="145" t="s">
        <v>790</v>
      </c>
      <c r="D34" s="100" t="s">
        <v>791</v>
      </c>
      <c r="E34" s="168">
        <v>5.9</v>
      </c>
      <c r="F34" s="145" t="s">
        <v>4</v>
      </c>
      <c r="G34" s="5" t="s">
        <v>437</v>
      </c>
      <c r="H34" s="181" t="s">
        <v>738</v>
      </c>
      <c r="I34" s="5" t="s">
        <v>753</v>
      </c>
      <c r="J34" s="5" t="s">
        <v>754</v>
      </c>
      <c r="K34" s="5" t="s">
        <v>1449</v>
      </c>
      <c r="L34" s="12" t="s">
        <v>6</v>
      </c>
      <c r="M34" s="22" t="s">
        <v>7</v>
      </c>
      <c r="N34" s="150">
        <v>2000</v>
      </c>
      <c r="O34" s="22">
        <v>2125</v>
      </c>
      <c r="P34" s="49">
        <f t="shared" si="0"/>
        <v>4.25</v>
      </c>
      <c r="Q34" s="12"/>
      <c r="R34" s="12"/>
      <c r="S34" s="12">
        <v>10.15</v>
      </c>
      <c r="T34" s="12">
        <v>2.6</v>
      </c>
      <c r="U34" s="49">
        <f>S34*T34-P34-Q34-X34-Y34</f>
        <v>5.0249999999999986</v>
      </c>
      <c r="V34" s="152"/>
      <c r="W34" s="152"/>
      <c r="X34" s="152">
        <f>(S34-2)*2.1</f>
        <v>17.115000000000002</v>
      </c>
      <c r="Y34" s="12"/>
    </row>
    <row r="35" spans="1:25" ht="45" x14ac:dyDescent="0.25">
      <c r="A35" s="145" t="s">
        <v>748</v>
      </c>
      <c r="B35" s="145" t="s">
        <v>228</v>
      </c>
      <c r="C35" s="145" t="s">
        <v>792</v>
      </c>
      <c r="D35" s="100" t="s">
        <v>368</v>
      </c>
      <c r="E35" s="168">
        <v>6.9</v>
      </c>
      <c r="F35" s="145" t="s">
        <v>4</v>
      </c>
      <c r="G35" s="5" t="s">
        <v>437</v>
      </c>
      <c r="H35" s="181" t="s">
        <v>738</v>
      </c>
      <c r="I35" s="5" t="s">
        <v>753</v>
      </c>
      <c r="J35" s="5" t="s">
        <v>754</v>
      </c>
      <c r="K35" s="5" t="s">
        <v>1449</v>
      </c>
      <c r="L35" s="12" t="s">
        <v>6</v>
      </c>
      <c r="M35" s="22" t="s">
        <v>7</v>
      </c>
      <c r="N35" s="150">
        <v>875</v>
      </c>
      <c r="O35" s="22">
        <v>2125</v>
      </c>
      <c r="P35" s="49">
        <f t="shared" si="0"/>
        <v>1.859375</v>
      </c>
      <c r="Q35" s="12"/>
      <c r="R35" s="12"/>
      <c r="S35" s="12">
        <v>10.83</v>
      </c>
      <c r="T35" s="12">
        <v>2.6</v>
      </c>
      <c r="U35" s="35">
        <f>S35*T35-P35-Q35-X35-Y35</f>
        <v>26.298625000000001</v>
      </c>
      <c r="V35" s="152"/>
      <c r="W35" s="152"/>
      <c r="X35" s="152"/>
      <c r="Y35" s="12"/>
    </row>
    <row r="36" spans="1:25" ht="45" x14ac:dyDescent="0.25">
      <c r="A36" s="145" t="s">
        <v>748</v>
      </c>
      <c r="B36" s="145" t="s">
        <v>228</v>
      </c>
      <c r="C36" s="145" t="s">
        <v>794</v>
      </c>
      <c r="D36" s="100" t="s">
        <v>795</v>
      </c>
      <c r="E36" s="168">
        <v>13.1</v>
      </c>
      <c r="F36" s="145" t="s">
        <v>4</v>
      </c>
      <c r="G36" s="5" t="s">
        <v>437</v>
      </c>
      <c r="H36" s="181" t="s">
        <v>738</v>
      </c>
      <c r="I36" s="5" t="s">
        <v>753</v>
      </c>
      <c r="J36" s="5" t="s">
        <v>754</v>
      </c>
      <c r="K36" s="5" t="s">
        <v>1449</v>
      </c>
      <c r="L36" s="12" t="s">
        <v>81</v>
      </c>
      <c r="M36" s="22" t="s">
        <v>7</v>
      </c>
      <c r="N36" s="150">
        <v>1125</v>
      </c>
      <c r="O36" s="22">
        <v>2125</v>
      </c>
      <c r="P36" s="49">
        <f t="shared" si="0"/>
        <v>2.390625</v>
      </c>
      <c r="Q36" s="12"/>
      <c r="R36" s="12"/>
      <c r="S36" s="12">
        <v>14.52</v>
      </c>
      <c r="T36" s="12">
        <v>2.6</v>
      </c>
      <c r="U36" s="152"/>
      <c r="V36" s="152"/>
      <c r="W36" s="152"/>
      <c r="X36" s="152">
        <f>S36*T36-P36</f>
        <v>35.361375000000002</v>
      </c>
      <c r="Y36" s="12"/>
    </row>
    <row r="37" spans="1:25" ht="45" x14ac:dyDescent="0.25">
      <c r="A37" s="145" t="s">
        <v>748</v>
      </c>
      <c r="B37" s="145" t="s">
        <v>228</v>
      </c>
      <c r="C37" s="145" t="s">
        <v>796</v>
      </c>
      <c r="D37" s="100" t="s">
        <v>797</v>
      </c>
      <c r="E37" s="168">
        <v>40.6</v>
      </c>
      <c r="F37" s="145" t="s">
        <v>4</v>
      </c>
      <c r="G37" s="5" t="s">
        <v>437</v>
      </c>
      <c r="H37" s="181" t="s">
        <v>738</v>
      </c>
      <c r="I37" s="5" t="s">
        <v>753</v>
      </c>
      <c r="J37" s="5" t="s">
        <v>754</v>
      </c>
      <c r="K37" s="5" t="s">
        <v>1449</v>
      </c>
      <c r="L37" s="12" t="s">
        <v>10</v>
      </c>
      <c r="M37" s="22" t="s">
        <v>388</v>
      </c>
      <c r="N37" s="150">
        <v>3200</v>
      </c>
      <c r="O37" s="22">
        <v>2125</v>
      </c>
      <c r="P37" s="49">
        <f t="shared" si="0"/>
        <v>6.8</v>
      </c>
      <c r="Q37" s="12">
        <v>9.31</v>
      </c>
      <c r="R37" s="12"/>
      <c r="S37" s="12">
        <v>26.68</v>
      </c>
      <c r="T37" s="12">
        <v>3</v>
      </c>
      <c r="U37" s="155"/>
      <c r="V37" s="152">
        <f t="shared" ref="V37:V44" si="2">S37*T37-P37-Q37-X37-Y37</f>
        <v>53.139999999999993</v>
      </c>
      <c r="W37" s="152"/>
      <c r="X37" s="152">
        <v>1</v>
      </c>
      <c r="Y37" s="12">
        <v>9.7899999999999991</v>
      </c>
    </row>
    <row r="38" spans="1:25" ht="45" x14ac:dyDescent="0.25">
      <c r="A38" s="145" t="s">
        <v>748</v>
      </c>
      <c r="B38" s="145" t="s">
        <v>228</v>
      </c>
      <c r="C38" s="145" t="s">
        <v>799</v>
      </c>
      <c r="D38" s="100" t="s">
        <v>797</v>
      </c>
      <c r="E38" s="168">
        <v>39.200000000000003</v>
      </c>
      <c r="F38" s="145" t="s">
        <v>4</v>
      </c>
      <c r="G38" s="5" t="s">
        <v>437</v>
      </c>
      <c r="H38" s="181" t="s">
        <v>738</v>
      </c>
      <c r="I38" s="5" t="s">
        <v>753</v>
      </c>
      <c r="J38" s="5" t="s">
        <v>754</v>
      </c>
      <c r="K38" s="5" t="s">
        <v>1449</v>
      </c>
      <c r="L38" s="12" t="s">
        <v>10</v>
      </c>
      <c r="M38" s="22" t="s">
        <v>388</v>
      </c>
      <c r="N38" s="150">
        <v>3200</v>
      </c>
      <c r="O38" s="22">
        <v>2125</v>
      </c>
      <c r="P38" s="49">
        <f t="shared" si="0"/>
        <v>6.8</v>
      </c>
      <c r="Q38" s="12">
        <v>5.86</v>
      </c>
      <c r="R38" s="12"/>
      <c r="S38" s="12">
        <v>26.36</v>
      </c>
      <c r="T38" s="12">
        <v>3</v>
      </c>
      <c r="U38" s="155"/>
      <c r="V38" s="152">
        <f t="shared" si="2"/>
        <v>47.13</v>
      </c>
      <c r="W38" s="152"/>
      <c r="X38" s="152">
        <v>1</v>
      </c>
      <c r="Y38" s="12">
        <v>18.29</v>
      </c>
    </row>
    <row r="39" spans="1:25" ht="45" x14ac:dyDescent="0.25">
      <c r="A39" s="145" t="s">
        <v>748</v>
      </c>
      <c r="B39" s="145" t="s">
        <v>228</v>
      </c>
      <c r="C39" s="145" t="s">
        <v>800</v>
      </c>
      <c r="D39" s="100" t="s">
        <v>797</v>
      </c>
      <c r="E39" s="168">
        <v>39.200000000000003</v>
      </c>
      <c r="F39" s="145" t="s">
        <v>4</v>
      </c>
      <c r="G39" s="5" t="s">
        <v>437</v>
      </c>
      <c r="H39" s="181" t="s">
        <v>738</v>
      </c>
      <c r="I39" s="5" t="s">
        <v>753</v>
      </c>
      <c r="J39" s="5" t="s">
        <v>754</v>
      </c>
      <c r="K39" s="5" t="s">
        <v>1449</v>
      </c>
      <c r="L39" s="12" t="s">
        <v>10</v>
      </c>
      <c r="M39" s="22" t="s">
        <v>388</v>
      </c>
      <c r="N39" s="150">
        <v>3200</v>
      </c>
      <c r="O39" s="22">
        <v>2125</v>
      </c>
      <c r="P39" s="49">
        <f t="shared" si="0"/>
        <v>6.8</v>
      </c>
      <c r="Q39" s="12">
        <v>5.52</v>
      </c>
      <c r="R39" s="12"/>
      <c r="S39" s="12">
        <v>26.36</v>
      </c>
      <c r="T39" s="12">
        <v>3</v>
      </c>
      <c r="U39" s="152"/>
      <c r="V39" s="152">
        <f t="shared" si="2"/>
        <v>47.470000000000006</v>
      </c>
      <c r="W39" s="152"/>
      <c r="X39" s="152">
        <v>1</v>
      </c>
      <c r="Y39" s="12">
        <v>18.29</v>
      </c>
    </row>
    <row r="40" spans="1:25" ht="45" x14ac:dyDescent="0.25">
      <c r="A40" s="145" t="s">
        <v>748</v>
      </c>
      <c r="B40" s="145" t="s">
        <v>228</v>
      </c>
      <c r="C40" s="145" t="s">
        <v>801</v>
      </c>
      <c r="D40" s="100" t="s">
        <v>797</v>
      </c>
      <c r="E40" s="168">
        <v>38.9</v>
      </c>
      <c r="F40" s="145" t="s">
        <v>4</v>
      </c>
      <c r="G40" s="5" t="s">
        <v>437</v>
      </c>
      <c r="H40" s="181" t="s">
        <v>738</v>
      </c>
      <c r="I40" s="5" t="s">
        <v>753</v>
      </c>
      <c r="J40" s="5" t="s">
        <v>754</v>
      </c>
      <c r="K40" s="5" t="s">
        <v>1449</v>
      </c>
      <c r="L40" s="12" t="s">
        <v>10</v>
      </c>
      <c r="M40" s="22" t="s">
        <v>388</v>
      </c>
      <c r="N40" s="150">
        <v>3200</v>
      </c>
      <c r="O40" s="22">
        <v>2125</v>
      </c>
      <c r="P40" s="49">
        <f t="shared" si="0"/>
        <v>6.8</v>
      </c>
      <c r="Q40" s="12">
        <v>6.21</v>
      </c>
      <c r="R40" s="12"/>
      <c r="S40" s="12">
        <v>26.28</v>
      </c>
      <c r="T40" s="12">
        <v>3</v>
      </c>
      <c r="U40" s="155"/>
      <c r="V40" s="152">
        <f t="shared" si="2"/>
        <v>55.040000000000013</v>
      </c>
      <c r="W40" s="152"/>
      <c r="X40" s="152">
        <v>1</v>
      </c>
      <c r="Y40" s="12">
        <v>9.7899999999999991</v>
      </c>
    </row>
    <row r="41" spans="1:25" ht="45" x14ac:dyDescent="0.25">
      <c r="A41" s="145" t="s">
        <v>748</v>
      </c>
      <c r="B41" s="145" t="s">
        <v>228</v>
      </c>
      <c r="C41" s="145" t="s">
        <v>802</v>
      </c>
      <c r="D41" s="100" t="s">
        <v>797</v>
      </c>
      <c r="E41" s="168">
        <v>38.799999999999997</v>
      </c>
      <c r="F41" s="145" t="s">
        <v>4</v>
      </c>
      <c r="G41" s="5" t="s">
        <v>437</v>
      </c>
      <c r="H41" s="181" t="s">
        <v>738</v>
      </c>
      <c r="I41" s="5" t="s">
        <v>753</v>
      </c>
      <c r="J41" s="5" t="s">
        <v>754</v>
      </c>
      <c r="K41" s="5" t="s">
        <v>1449</v>
      </c>
      <c r="L41" s="12" t="s">
        <v>10</v>
      </c>
      <c r="M41" s="22" t="s">
        <v>388</v>
      </c>
      <c r="N41" s="150">
        <v>3200</v>
      </c>
      <c r="O41" s="22">
        <v>2125</v>
      </c>
      <c r="P41" s="49">
        <f t="shared" si="0"/>
        <v>6.8</v>
      </c>
      <c r="Q41" s="12">
        <v>5.52</v>
      </c>
      <c r="R41" s="12"/>
      <c r="S41" s="12">
        <v>26.28</v>
      </c>
      <c r="T41" s="12">
        <v>3</v>
      </c>
      <c r="U41" s="152"/>
      <c r="V41" s="152">
        <f t="shared" si="2"/>
        <v>47.230000000000011</v>
      </c>
      <c r="W41" s="152"/>
      <c r="X41" s="152">
        <v>1</v>
      </c>
      <c r="Y41" s="12">
        <v>18.29</v>
      </c>
    </row>
    <row r="42" spans="1:25" ht="45" x14ac:dyDescent="0.25">
      <c r="A42" s="145" t="s">
        <v>748</v>
      </c>
      <c r="B42" s="145" t="s">
        <v>228</v>
      </c>
      <c r="C42" s="145" t="s">
        <v>803</v>
      </c>
      <c r="D42" s="100" t="s">
        <v>797</v>
      </c>
      <c r="E42" s="168">
        <v>39.200000000000003</v>
      </c>
      <c r="F42" s="145" t="s">
        <v>4</v>
      </c>
      <c r="G42" s="5" t="s">
        <v>437</v>
      </c>
      <c r="H42" s="181" t="s">
        <v>738</v>
      </c>
      <c r="I42" s="5" t="s">
        <v>753</v>
      </c>
      <c r="J42" s="5" t="s">
        <v>754</v>
      </c>
      <c r="K42" s="5" t="s">
        <v>1449</v>
      </c>
      <c r="L42" s="12" t="s">
        <v>10</v>
      </c>
      <c r="M42" s="22" t="s">
        <v>388</v>
      </c>
      <c r="N42" s="150">
        <v>3200</v>
      </c>
      <c r="O42" s="22">
        <v>2125</v>
      </c>
      <c r="P42" s="49">
        <f t="shared" si="0"/>
        <v>6.8</v>
      </c>
      <c r="Q42" s="12">
        <v>6.21</v>
      </c>
      <c r="R42" s="12"/>
      <c r="S42" s="12">
        <v>26.35</v>
      </c>
      <c r="T42" s="12">
        <v>3</v>
      </c>
      <c r="U42" s="152"/>
      <c r="V42" s="152">
        <f t="shared" si="2"/>
        <v>46.750000000000021</v>
      </c>
      <c r="W42" s="152"/>
      <c r="X42" s="152">
        <v>1</v>
      </c>
      <c r="Y42" s="12">
        <v>18.29</v>
      </c>
    </row>
    <row r="43" spans="1:25" ht="45" x14ac:dyDescent="0.25">
      <c r="A43" s="145" t="s">
        <v>748</v>
      </c>
      <c r="B43" s="145" t="s">
        <v>228</v>
      </c>
      <c r="C43" s="145" t="s">
        <v>804</v>
      </c>
      <c r="D43" s="100" t="s">
        <v>797</v>
      </c>
      <c r="E43" s="168">
        <v>39.200000000000003</v>
      </c>
      <c r="F43" s="145" t="s">
        <v>4</v>
      </c>
      <c r="G43" s="5" t="s">
        <v>437</v>
      </c>
      <c r="H43" s="181" t="s">
        <v>738</v>
      </c>
      <c r="I43" s="5" t="s">
        <v>753</v>
      </c>
      <c r="J43" s="5" t="s">
        <v>754</v>
      </c>
      <c r="K43" s="5" t="s">
        <v>1449</v>
      </c>
      <c r="L43" s="12" t="s">
        <v>10</v>
      </c>
      <c r="M43" s="22" t="s">
        <v>388</v>
      </c>
      <c r="N43" s="150">
        <v>3200</v>
      </c>
      <c r="O43" s="22">
        <v>2125</v>
      </c>
      <c r="P43" s="49">
        <f t="shared" si="0"/>
        <v>6.8</v>
      </c>
      <c r="Q43" s="12">
        <v>5.52</v>
      </c>
      <c r="R43" s="12"/>
      <c r="S43" s="12">
        <v>26.32</v>
      </c>
      <c r="T43" s="12">
        <v>3</v>
      </c>
      <c r="U43" s="152"/>
      <c r="V43" s="152">
        <f t="shared" si="2"/>
        <v>47.350000000000016</v>
      </c>
      <c r="W43" s="152"/>
      <c r="X43" s="152">
        <v>1</v>
      </c>
      <c r="Y43" s="12">
        <v>18.29</v>
      </c>
    </row>
    <row r="44" spans="1:25" ht="45" x14ac:dyDescent="0.25">
      <c r="A44" s="145" t="s">
        <v>748</v>
      </c>
      <c r="B44" s="145" t="s">
        <v>228</v>
      </c>
      <c r="C44" s="145" t="s">
        <v>805</v>
      </c>
      <c r="D44" s="100" t="s">
        <v>797</v>
      </c>
      <c r="E44" s="168">
        <v>39.5</v>
      </c>
      <c r="F44" s="145" t="s">
        <v>4</v>
      </c>
      <c r="G44" s="5" t="s">
        <v>437</v>
      </c>
      <c r="H44" s="181" t="s">
        <v>738</v>
      </c>
      <c r="I44" s="5" t="s">
        <v>753</v>
      </c>
      <c r="J44" s="5" t="s">
        <v>754</v>
      </c>
      <c r="K44" s="5" t="s">
        <v>1449</v>
      </c>
      <c r="L44" s="12" t="s">
        <v>10</v>
      </c>
      <c r="M44" s="22" t="s">
        <v>388</v>
      </c>
      <c r="N44" s="150">
        <v>3200</v>
      </c>
      <c r="O44" s="22">
        <v>2125</v>
      </c>
      <c r="P44" s="49">
        <f t="shared" si="0"/>
        <v>6.8</v>
      </c>
      <c r="Q44" s="12">
        <v>5.52</v>
      </c>
      <c r="R44" s="12"/>
      <c r="S44" s="12">
        <v>26.4</v>
      </c>
      <c r="T44" s="12">
        <v>3</v>
      </c>
      <c r="U44" s="152"/>
      <c r="V44" s="152">
        <f t="shared" si="2"/>
        <v>56.089999999999996</v>
      </c>
      <c r="W44" s="152"/>
      <c r="X44" s="152">
        <v>1</v>
      </c>
      <c r="Y44" s="12">
        <v>9.7899999999999991</v>
      </c>
    </row>
    <row r="45" spans="1:25" ht="45" x14ac:dyDescent="0.25">
      <c r="A45" s="145" t="s">
        <v>748</v>
      </c>
      <c r="B45" s="145" t="s">
        <v>228</v>
      </c>
      <c r="C45" s="145" t="s">
        <v>806</v>
      </c>
      <c r="D45" s="100" t="s">
        <v>362</v>
      </c>
      <c r="E45" s="168">
        <v>6.2</v>
      </c>
      <c r="F45" s="145" t="s">
        <v>4</v>
      </c>
      <c r="G45" s="5" t="s">
        <v>437</v>
      </c>
      <c r="H45" s="181" t="s">
        <v>738</v>
      </c>
      <c r="I45" s="5" t="s">
        <v>753</v>
      </c>
      <c r="J45" s="5" t="s">
        <v>754</v>
      </c>
      <c r="K45" s="5" t="s">
        <v>1449</v>
      </c>
      <c r="L45" s="12" t="s">
        <v>6</v>
      </c>
      <c r="M45" s="22" t="s">
        <v>7</v>
      </c>
      <c r="N45" s="150">
        <v>3000</v>
      </c>
      <c r="O45" s="22">
        <v>2125</v>
      </c>
      <c r="P45" s="49">
        <f t="shared" si="0"/>
        <v>6.375</v>
      </c>
      <c r="Q45" s="12"/>
      <c r="R45" s="12"/>
      <c r="S45" s="12">
        <v>10.130000000000001</v>
      </c>
      <c r="T45" s="12">
        <v>2.7</v>
      </c>
      <c r="U45" s="35">
        <f>S45*T45-P45-Q45-X45-Y45</f>
        <v>15.036000000000001</v>
      </c>
      <c r="V45" s="152"/>
      <c r="W45" s="152"/>
      <c r="X45" s="152">
        <v>3.96</v>
      </c>
      <c r="Y45" s="12">
        <v>1.98</v>
      </c>
    </row>
    <row r="46" spans="1:25" ht="45" x14ac:dyDescent="0.25">
      <c r="A46" s="145" t="s">
        <v>748</v>
      </c>
      <c r="B46" s="145" t="s">
        <v>228</v>
      </c>
      <c r="C46" s="145" t="s">
        <v>807</v>
      </c>
      <c r="D46" s="100" t="s">
        <v>3</v>
      </c>
      <c r="E46" s="168">
        <v>21.4</v>
      </c>
      <c r="F46" s="145" t="s">
        <v>4</v>
      </c>
      <c r="G46" s="5" t="s">
        <v>437</v>
      </c>
      <c r="H46" s="181" t="s">
        <v>738</v>
      </c>
      <c r="I46" s="5" t="s">
        <v>753</v>
      </c>
      <c r="J46" s="5" t="s">
        <v>754</v>
      </c>
      <c r="K46" s="5" t="s">
        <v>1449</v>
      </c>
      <c r="L46" s="12" t="s">
        <v>6</v>
      </c>
      <c r="M46" s="22" t="s">
        <v>370</v>
      </c>
      <c r="N46" s="150">
        <v>3750</v>
      </c>
      <c r="O46" s="22">
        <v>2125</v>
      </c>
      <c r="P46" s="49">
        <f t="shared" si="0"/>
        <v>7.96875</v>
      </c>
      <c r="Q46" s="12">
        <v>3.26</v>
      </c>
      <c r="R46" s="12"/>
      <c r="S46" s="12">
        <v>22.98</v>
      </c>
      <c r="T46" s="12">
        <v>2.6</v>
      </c>
      <c r="U46" s="35">
        <f>S46*T46-P46-Q46-X46-Y46</f>
        <v>42.799250000000008</v>
      </c>
      <c r="V46" s="152"/>
      <c r="W46" s="152"/>
      <c r="X46" s="152">
        <v>3.74</v>
      </c>
      <c r="Y46" s="12">
        <v>1.98</v>
      </c>
    </row>
    <row r="47" spans="1:25" ht="45" x14ac:dyDescent="0.25">
      <c r="A47" s="145" t="s">
        <v>748</v>
      </c>
      <c r="B47" s="145" t="s">
        <v>228</v>
      </c>
      <c r="C47" s="145" t="s">
        <v>808</v>
      </c>
      <c r="D47" s="100" t="s">
        <v>809</v>
      </c>
      <c r="E47" s="168">
        <v>18.100000000000001</v>
      </c>
      <c r="F47" s="145" t="s">
        <v>4</v>
      </c>
      <c r="G47" s="5" t="s">
        <v>437</v>
      </c>
      <c r="H47" s="181" t="s">
        <v>738</v>
      </c>
      <c r="I47" s="5" t="s">
        <v>753</v>
      </c>
      <c r="J47" s="5" t="s">
        <v>754</v>
      </c>
      <c r="K47" s="5" t="s">
        <v>1449</v>
      </c>
      <c r="L47" s="12" t="s">
        <v>6</v>
      </c>
      <c r="M47" s="22" t="s">
        <v>7</v>
      </c>
      <c r="N47" s="150">
        <v>3525</v>
      </c>
      <c r="O47" s="22">
        <v>2125</v>
      </c>
      <c r="P47" s="49">
        <f t="shared" si="0"/>
        <v>7.4906249999999996</v>
      </c>
      <c r="Q47" s="12">
        <v>3.37</v>
      </c>
      <c r="R47" s="12">
        <v>1.1000000000000001</v>
      </c>
      <c r="S47" s="12">
        <v>17.47</v>
      </c>
      <c r="T47" s="12">
        <v>2.7</v>
      </c>
      <c r="U47" s="35">
        <f>S47*T47-P47-Q47-X47-Y47</f>
        <v>36.308374999999998</v>
      </c>
      <c r="V47" s="152"/>
      <c r="W47" s="152"/>
      <c r="X47" s="152"/>
      <c r="Y47" s="12"/>
    </row>
    <row r="48" spans="1:25" ht="45" x14ac:dyDescent="0.25">
      <c r="A48" s="145" t="s">
        <v>748</v>
      </c>
      <c r="B48" s="145" t="s">
        <v>228</v>
      </c>
      <c r="C48" s="145" t="s">
        <v>810</v>
      </c>
      <c r="D48" s="100" t="s">
        <v>3</v>
      </c>
      <c r="E48" s="168">
        <v>6.9</v>
      </c>
      <c r="F48" s="145" t="s">
        <v>4</v>
      </c>
      <c r="G48" s="5" t="s">
        <v>437</v>
      </c>
      <c r="H48" s="181" t="s">
        <v>738</v>
      </c>
      <c r="I48" s="5" t="s">
        <v>753</v>
      </c>
      <c r="J48" s="5" t="s">
        <v>754</v>
      </c>
      <c r="K48" s="5" t="s">
        <v>1449</v>
      </c>
      <c r="L48" s="12" t="s">
        <v>6</v>
      </c>
      <c r="M48" s="22" t="s">
        <v>7</v>
      </c>
      <c r="N48" s="150">
        <v>3750</v>
      </c>
      <c r="O48" s="22">
        <v>2125</v>
      </c>
      <c r="P48" s="49">
        <f t="shared" si="0"/>
        <v>7.96875</v>
      </c>
      <c r="Q48" s="12"/>
      <c r="R48" s="12"/>
      <c r="S48" s="12">
        <v>12.34</v>
      </c>
      <c r="T48" s="12">
        <v>2.7</v>
      </c>
      <c r="U48" s="35">
        <f>S48*T48-P48-Q48-X48-Y48</f>
        <v>7.3102500000000035</v>
      </c>
      <c r="V48" s="152"/>
      <c r="W48" s="152"/>
      <c r="X48" s="152">
        <f>(S48-N48/1000)*2.1</f>
        <v>18.039000000000001</v>
      </c>
      <c r="Y48" s="12"/>
    </row>
    <row r="49" spans="1:25" ht="45" x14ac:dyDescent="0.25">
      <c r="A49" s="145" t="s">
        <v>748</v>
      </c>
      <c r="B49" s="145" t="s">
        <v>228</v>
      </c>
      <c r="C49" s="145" t="s">
        <v>811</v>
      </c>
      <c r="D49" s="100" t="s">
        <v>812</v>
      </c>
      <c r="E49" s="168">
        <v>8.1999999999999993</v>
      </c>
      <c r="F49" s="145" t="s">
        <v>4</v>
      </c>
      <c r="G49" s="5" t="s">
        <v>437</v>
      </c>
      <c r="H49" s="181" t="s">
        <v>738</v>
      </c>
      <c r="I49" s="5" t="s">
        <v>753</v>
      </c>
      <c r="J49" s="5" t="s">
        <v>754</v>
      </c>
      <c r="K49" s="5" t="s">
        <v>1449</v>
      </c>
      <c r="L49" s="12" t="s">
        <v>6</v>
      </c>
      <c r="M49" s="22" t="s">
        <v>7</v>
      </c>
      <c r="N49" s="150">
        <v>875</v>
      </c>
      <c r="O49" s="22">
        <v>2125</v>
      </c>
      <c r="P49" s="49">
        <f t="shared" si="0"/>
        <v>1.859375</v>
      </c>
      <c r="Q49" s="12">
        <v>1.72</v>
      </c>
      <c r="R49" s="12">
        <v>0.57999999999999996</v>
      </c>
      <c r="S49" s="12">
        <v>12.6</v>
      </c>
      <c r="T49" s="12">
        <v>2.7</v>
      </c>
      <c r="U49" s="35">
        <f>S49*T49-P49-Q49-X49-Y49</f>
        <v>28.440625000000004</v>
      </c>
      <c r="V49" s="152"/>
      <c r="W49" s="152"/>
      <c r="X49" s="152">
        <v>2</v>
      </c>
      <c r="Y49" s="12"/>
    </row>
    <row r="50" spans="1:25" ht="45" x14ac:dyDescent="0.25">
      <c r="A50" s="145" t="s">
        <v>748</v>
      </c>
      <c r="B50" s="145" t="s">
        <v>228</v>
      </c>
      <c r="C50" s="145" t="s">
        <v>814</v>
      </c>
      <c r="D50" s="100" t="s">
        <v>815</v>
      </c>
      <c r="E50" s="168">
        <v>4.3</v>
      </c>
      <c r="F50" s="145" t="s">
        <v>4</v>
      </c>
      <c r="G50" s="5" t="s">
        <v>437</v>
      </c>
      <c r="H50" s="181" t="s">
        <v>738</v>
      </c>
      <c r="I50" s="5" t="s">
        <v>753</v>
      </c>
      <c r="J50" s="5" t="s">
        <v>754</v>
      </c>
      <c r="K50" s="5" t="s">
        <v>1449</v>
      </c>
      <c r="L50" s="12" t="s">
        <v>81</v>
      </c>
      <c r="M50" s="22" t="s">
        <v>7</v>
      </c>
      <c r="N50" s="150">
        <v>875</v>
      </c>
      <c r="O50" s="22">
        <v>2125</v>
      </c>
      <c r="P50" s="49">
        <f t="shared" si="0"/>
        <v>1.859375</v>
      </c>
      <c r="Q50" s="12">
        <v>1.72</v>
      </c>
      <c r="R50" s="12">
        <v>0.57999999999999996</v>
      </c>
      <c r="S50" s="12">
        <v>8.26</v>
      </c>
      <c r="T50" s="12">
        <v>2.7</v>
      </c>
      <c r="U50" s="152"/>
      <c r="V50" s="152"/>
      <c r="W50" s="152"/>
      <c r="X50" s="152">
        <f>S50*T50-P50</f>
        <v>20.442625</v>
      </c>
      <c r="Y50" s="12"/>
    </row>
    <row r="51" spans="1:25" ht="45.75" thickBot="1" x14ac:dyDescent="0.3">
      <c r="A51" s="145" t="s">
        <v>748</v>
      </c>
      <c r="B51" s="145" t="s">
        <v>228</v>
      </c>
      <c r="C51" s="145" t="s">
        <v>814</v>
      </c>
      <c r="D51" s="100" t="s">
        <v>223</v>
      </c>
      <c r="E51" s="168">
        <v>10.5</v>
      </c>
      <c r="F51" s="145" t="s">
        <v>4</v>
      </c>
      <c r="G51" s="5" t="s">
        <v>437</v>
      </c>
      <c r="H51" s="181" t="s">
        <v>738</v>
      </c>
      <c r="I51" s="5" t="s">
        <v>753</v>
      </c>
      <c r="J51" s="5" t="s">
        <v>754</v>
      </c>
      <c r="K51" s="5" t="s">
        <v>1449</v>
      </c>
      <c r="L51" s="12" t="s">
        <v>6</v>
      </c>
      <c r="M51" s="19" t="s">
        <v>7</v>
      </c>
      <c r="N51" s="321">
        <v>875</v>
      </c>
      <c r="O51" s="19">
        <v>2125</v>
      </c>
      <c r="P51" s="322">
        <f t="shared" si="0"/>
        <v>1.859375</v>
      </c>
      <c r="Q51" s="20">
        <v>3.45</v>
      </c>
      <c r="R51" s="20">
        <v>1.1599999999999999</v>
      </c>
      <c r="S51" s="20">
        <v>12.97</v>
      </c>
      <c r="T51" s="20">
        <v>2.7</v>
      </c>
      <c r="U51" s="323"/>
      <c r="V51" s="323"/>
      <c r="W51" s="323"/>
      <c r="X51" s="323">
        <f>S51*T51-P51</f>
        <v>33.159625000000005</v>
      </c>
      <c r="Y51" s="20"/>
    </row>
    <row r="52" spans="1:25" ht="45.75" thickTop="1" x14ac:dyDescent="0.25">
      <c r="A52" s="225" t="s">
        <v>748</v>
      </c>
      <c r="B52" s="225" t="s">
        <v>228</v>
      </c>
      <c r="C52" s="225" t="s">
        <v>816</v>
      </c>
      <c r="D52" s="81" t="s">
        <v>436</v>
      </c>
      <c r="E52" s="228">
        <v>2.7</v>
      </c>
      <c r="F52" s="225" t="s">
        <v>4</v>
      </c>
      <c r="G52" s="21" t="s">
        <v>437</v>
      </c>
      <c r="H52" s="181" t="s">
        <v>738</v>
      </c>
      <c r="I52" s="21" t="s">
        <v>753</v>
      </c>
      <c r="J52" s="5" t="s">
        <v>754</v>
      </c>
      <c r="K52" s="5" t="s">
        <v>1449</v>
      </c>
      <c r="L52" s="24" t="s">
        <v>81</v>
      </c>
      <c r="M52" s="22" t="s">
        <v>7</v>
      </c>
      <c r="N52" s="154">
        <v>875</v>
      </c>
      <c r="O52" s="22">
        <v>2125</v>
      </c>
      <c r="P52" s="49">
        <f t="shared" si="0"/>
        <v>1.859375</v>
      </c>
      <c r="Q52" s="24"/>
      <c r="R52" s="24"/>
      <c r="S52" s="24">
        <v>6.6</v>
      </c>
      <c r="T52" s="24">
        <v>2.7</v>
      </c>
      <c r="U52" s="155"/>
      <c r="V52" s="155"/>
      <c r="W52" s="155"/>
      <c r="X52" s="155">
        <f>S52*T52-P52</f>
        <v>15.960625</v>
      </c>
      <c r="Y52" s="24"/>
    </row>
    <row r="53" spans="1:25" ht="45" x14ac:dyDescent="0.25">
      <c r="A53" s="145" t="s">
        <v>748</v>
      </c>
      <c r="B53" s="145" t="s">
        <v>228</v>
      </c>
      <c r="C53" s="145" t="s">
        <v>818</v>
      </c>
      <c r="D53" s="100" t="s">
        <v>664</v>
      </c>
      <c r="E53" s="168">
        <v>13.3</v>
      </c>
      <c r="F53" s="145" t="s">
        <v>4</v>
      </c>
      <c r="G53" s="5" t="s">
        <v>437</v>
      </c>
      <c r="H53" s="181" t="s">
        <v>738</v>
      </c>
      <c r="I53" s="5" t="s">
        <v>753</v>
      </c>
      <c r="J53" s="5" t="s">
        <v>754</v>
      </c>
      <c r="K53" s="5" t="s">
        <v>1449</v>
      </c>
      <c r="L53" s="12" t="s">
        <v>10</v>
      </c>
      <c r="M53" s="22" t="s">
        <v>7</v>
      </c>
      <c r="N53" s="150">
        <v>875</v>
      </c>
      <c r="O53" s="22">
        <v>2125</v>
      </c>
      <c r="P53" s="49">
        <f t="shared" si="0"/>
        <v>1.859375</v>
      </c>
      <c r="Q53" s="12">
        <v>3.45</v>
      </c>
      <c r="R53" s="12">
        <v>1.1599999999999999</v>
      </c>
      <c r="S53" s="12">
        <v>16.8</v>
      </c>
      <c r="T53" s="12">
        <v>3</v>
      </c>
      <c r="U53" s="49">
        <f>S53*T53-P53-Q53-X53-Y53</f>
        <v>45.090625000000003</v>
      </c>
      <c r="V53" s="152"/>
      <c r="W53" s="152"/>
      <c r="X53" s="152"/>
      <c r="Y53" s="12"/>
    </row>
    <row r="54" spans="1:25" ht="45" x14ac:dyDescent="0.25">
      <c r="A54" s="145" t="s">
        <v>748</v>
      </c>
      <c r="B54" s="145" t="s">
        <v>228</v>
      </c>
      <c r="C54" s="145" t="s">
        <v>820</v>
      </c>
      <c r="D54" s="100" t="s">
        <v>222</v>
      </c>
      <c r="E54" s="168">
        <v>14.4</v>
      </c>
      <c r="F54" s="145" t="s">
        <v>4</v>
      </c>
      <c r="G54" s="5" t="s">
        <v>437</v>
      </c>
      <c r="H54" s="181" t="s">
        <v>738</v>
      </c>
      <c r="I54" s="5" t="s">
        <v>753</v>
      </c>
      <c r="J54" s="5" t="s">
        <v>754</v>
      </c>
      <c r="K54" s="5" t="s">
        <v>1449</v>
      </c>
      <c r="L54" s="12" t="s">
        <v>10</v>
      </c>
      <c r="M54" s="22" t="s">
        <v>7</v>
      </c>
      <c r="N54" s="150">
        <v>1625</v>
      </c>
      <c r="O54" s="22">
        <v>2125</v>
      </c>
      <c r="P54" s="49">
        <f t="shared" si="0"/>
        <v>3.453125</v>
      </c>
      <c r="Q54" s="12">
        <v>3.45</v>
      </c>
      <c r="R54" s="12">
        <v>0.57999999999999996</v>
      </c>
      <c r="S54" s="12">
        <v>17.899999999999999</v>
      </c>
      <c r="T54" s="12">
        <v>3</v>
      </c>
      <c r="U54" s="35">
        <f>S54*T54-P54-Q54-X54-Y54</f>
        <v>43.59687499999999</v>
      </c>
      <c r="V54" s="152"/>
      <c r="W54" s="152"/>
      <c r="X54" s="152">
        <v>3.2</v>
      </c>
      <c r="Y54" s="12"/>
    </row>
    <row r="55" spans="1:25" ht="45" x14ac:dyDescent="0.25">
      <c r="A55" s="145" t="s">
        <v>748</v>
      </c>
      <c r="B55" s="145" t="s">
        <v>228</v>
      </c>
      <c r="C55" s="145" t="s">
        <v>822</v>
      </c>
      <c r="D55" s="100" t="s">
        <v>101</v>
      </c>
      <c r="E55" s="168">
        <v>2.7</v>
      </c>
      <c r="F55" s="145" t="s">
        <v>4</v>
      </c>
      <c r="G55" s="5" t="s">
        <v>437</v>
      </c>
      <c r="H55" s="181" t="s">
        <v>738</v>
      </c>
      <c r="I55" s="5" t="s">
        <v>753</v>
      </c>
      <c r="J55" s="5" t="s">
        <v>754</v>
      </c>
      <c r="K55" s="5" t="s">
        <v>1449</v>
      </c>
      <c r="L55" s="12" t="s">
        <v>81</v>
      </c>
      <c r="M55" s="22" t="s">
        <v>7</v>
      </c>
      <c r="N55" s="150">
        <v>750</v>
      </c>
      <c r="O55" s="22">
        <v>2125</v>
      </c>
      <c r="P55" s="49">
        <f t="shared" si="0"/>
        <v>1.59375</v>
      </c>
      <c r="Q55" s="12"/>
      <c r="R55" s="12"/>
      <c r="S55" s="12">
        <v>6.6</v>
      </c>
      <c r="T55" s="12">
        <v>2.6</v>
      </c>
      <c r="U55" s="155"/>
      <c r="V55" s="155"/>
      <c r="W55" s="152"/>
      <c r="X55" s="152">
        <f>S55*T55-P55</f>
        <v>15.56625</v>
      </c>
      <c r="Y55" s="12"/>
    </row>
    <row r="56" spans="1:25" ht="45" x14ac:dyDescent="0.25">
      <c r="A56" s="145" t="s">
        <v>748</v>
      </c>
      <c r="B56" s="145" t="s">
        <v>228</v>
      </c>
      <c r="C56" s="144" t="s">
        <v>824</v>
      </c>
      <c r="D56" s="100" t="s">
        <v>371</v>
      </c>
      <c r="E56" s="168">
        <v>37.4</v>
      </c>
      <c r="F56" s="145" t="s">
        <v>4</v>
      </c>
      <c r="G56" s="5" t="s">
        <v>437</v>
      </c>
      <c r="H56" s="181" t="s">
        <v>738</v>
      </c>
      <c r="I56" s="5" t="s">
        <v>753</v>
      </c>
      <c r="J56" s="5" t="s">
        <v>754</v>
      </c>
      <c r="K56" s="5" t="s">
        <v>1449</v>
      </c>
      <c r="L56" s="12" t="s">
        <v>10</v>
      </c>
      <c r="M56" s="22" t="s">
        <v>692</v>
      </c>
      <c r="N56" s="150">
        <v>875</v>
      </c>
      <c r="O56" s="22">
        <v>2125</v>
      </c>
      <c r="P56" s="49">
        <f t="shared" si="0"/>
        <v>1.859375</v>
      </c>
      <c r="Q56" s="12">
        <v>6.9</v>
      </c>
      <c r="R56" s="12">
        <v>0.57999999999999996</v>
      </c>
      <c r="S56" s="12">
        <v>24.4</v>
      </c>
      <c r="T56" s="12">
        <v>3</v>
      </c>
      <c r="U56" s="152"/>
      <c r="V56" s="152">
        <f>S56*T56-P56-Q56-X56-Y56</f>
        <v>52.120624999999983</v>
      </c>
      <c r="W56" s="152"/>
      <c r="X56" s="152">
        <v>1</v>
      </c>
      <c r="Y56" s="12">
        <v>11.32</v>
      </c>
    </row>
    <row r="57" spans="1:25" ht="45" x14ac:dyDescent="0.25">
      <c r="A57" s="145" t="s">
        <v>748</v>
      </c>
      <c r="B57" s="145" t="s">
        <v>228</v>
      </c>
      <c r="C57" s="145" t="s">
        <v>826</v>
      </c>
      <c r="D57" s="100" t="s">
        <v>369</v>
      </c>
      <c r="E57" s="168">
        <v>34</v>
      </c>
      <c r="F57" s="145" t="s">
        <v>4</v>
      </c>
      <c r="G57" s="5" t="s">
        <v>437</v>
      </c>
      <c r="H57" s="181" t="s">
        <v>738</v>
      </c>
      <c r="I57" s="5" t="s">
        <v>753</v>
      </c>
      <c r="J57" s="5" t="s">
        <v>754</v>
      </c>
      <c r="K57" s="5" t="s">
        <v>1449</v>
      </c>
      <c r="L57" s="12" t="s">
        <v>6</v>
      </c>
      <c r="M57" s="22" t="s">
        <v>692</v>
      </c>
      <c r="N57" s="150">
        <v>0</v>
      </c>
      <c r="O57" s="22">
        <v>0</v>
      </c>
      <c r="P57" s="49">
        <f t="shared" si="0"/>
        <v>0</v>
      </c>
      <c r="Q57" s="12"/>
      <c r="R57" s="12"/>
      <c r="S57" s="12">
        <v>0</v>
      </c>
      <c r="T57" s="12">
        <v>3</v>
      </c>
      <c r="U57" s="152"/>
      <c r="V57" s="152"/>
      <c r="W57" s="152"/>
      <c r="X57" s="152"/>
      <c r="Y57" s="12">
        <v>11.32</v>
      </c>
    </row>
    <row r="58" spans="1:25" ht="45" x14ac:dyDescent="0.25">
      <c r="A58" s="145" t="s">
        <v>748</v>
      </c>
      <c r="B58" s="145" t="s">
        <v>228</v>
      </c>
      <c r="C58" s="145" t="s">
        <v>828</v>
      </c>
      <c r="D58" s="100" t="s">
        <v>829</v>
      </c>
      <c r="E58" s="168">
        <v>15.9</v>
      </c>
      <c r="F58" s="145" t="s">
        <v>4</v>
      </c>
      <c r="G58" s="5" t="s">
        <v>437</v>
      </c>
      <c r="H58" s="181" t="s">
        <v>738</v>
      </c>
      <c r="I58" s="5" t="s">
        <v>753</v>
      </c>
      <c r="J58" s="5" t="s">
        <v>754</v>
      </c>
      <c r="K58" s="5" t="s">
        <v>1449</v>
      </c>
      <c r="L58" s="12" t="s">
        <v>10</v>
      </c>
      <c r="M58" s="22" t="s">
        <v>388</v>
      </c>
      <c r="N58" s="150">
        <v>2700</v>
      </c>
      <c r="O58" s="22">
        <v>2125</v>
      </c>
      <c r="P58" s="49">
        <f t="shared" si="0"/>
        <v>5.7374999999999998</v>
      </c>
      <c r="Q58" s="12">
        <v>1.2</v>
      </c>
      <c r="R58" s="12"/>
      <c r="S58" s="12">
        <v>18.11</v>
      </c>
      <c r="T58" s="12">
        <v>3</v>
      </c>
      <c r="U58" s="152"/>
      <c r="V58" s="152">
        <f>S58*T58-P58-Q58-X58-Y58</f>
        <v>35.072499999999998</v>
      </c>
      <c r="W58" s="152"/>
      <c r="X58" s="152">
        <v>1</v>
      </c>
      <c r="Y58" s="12">
        <v>11.32</v>
      </c>
    </row>
    <row r="59" spans="1:25" ht="45" x14ac:dyDescent="0.25">
      <c r="A59" s="145" t="s">
        <v>748</v>
      </c>
      <c r="B59" s="145" t="s">
        <v>228</v>
      </c>
      <c r="C59" s="145" t="s">
        <v>831</v>
      </c>
      <c r="D59" s="100" t="s">
        <v>829</v>
      </c>
      <c r="E59" s="168">
        <v>16.2</v>
      </c>
      <c r="F59" s="145" t="s">
        <v>4</v>
      </c>
      <c r="G59" s="5" t="s">
        <v>437</v>
      </c>
      <c r="H59" s="181" t="s">
        <v>738</v>
      </c>
      <c r="I59" s="5" t="s">
        <v>753</v>
      </c>
      <c r="J59" s="5" t="s">
        <v>754</v>
      </c>
      <c r="K59" s="5" t="s">
        <v>1449</v>
      </c>
      <c r="L59" s="12" t="s">
        <v>10</v>
      </c>
      <c r="M59" s="22" t="s">
        <v>388</v>
      </c>
      <c r="N59" s="150">
        <v>2700</v>
      </c>
      <c r="O59" s="22">
        <v>2125</v>
      </c>
      <c r="P59" s="49">
        <f t="shared" si="0"/>
        <v>5.7374999999999998</v>
      </c>
      <c r="Q59" s="12">
        <v>2.4</v>
      </c>
      <c r="R59" s="12"/>
      <c r="S59" s="12">
        <v>17.03</v>
      </c>
      <c r="T59" s="12">
        <v>3</v>
      </c>
      <c r="U59" s="152"/>
      <c r="V59" s="152">
        <f>S59*T59-P59-Q59-X59-Y59</f>
        <v>30.632500000000007</v>
      </c>
      <c r="W59" s="152"/>
      <c r="X59" s="152">
        <v>1</v>
      </c>
      <c r="Y59" s="12">
        <v>11.32</v>
      </c>
    </row>
    <row r="60" spans="1:25" ht="45" x14ac:dyDescent="0.25">
      <c r="A60" s="145" t="s">
        <v>748</v>
      </c>
      <c r="B60" s="145" t="s">
        <v>228</v>
      </c>
      <c r="C60" s="145" t="s">
        <v>832</v>
      </c>
      <c r="D60" s="100" t="s">
        <v>829</v>
      </c>
      <c r="E60" s="168">
        <v>16.2</v>
      </c>
      <c r="F60" s="145" t="s">
        <v>4</v>
      </c>
      <c r="G60" s="5" t="s">
        <v>437</v>
      </c>
      <c r="H60" s="181" t="s">
        <v>738</v>
      </c>
      <c r="I60" s="5" t="s">
        <v>753</v>
      </c>
      <c r="J60" s="5" t="s">
        <v>754</v>
      </c>
      <c r="K60" s="5" t="s">
        <v>1449</v>
      </c>
      <c r="L60" s="12" t="s">
        <v>10</v>
      </c>
      <c r="M60" s="22" t="s">
        <v>388</v>
      </c>
      <c r="N60" s="150">
        <v>2700</v>
      </c>
      <c r="O60" s="22">
        <v>2125</v>
      </c>
      <c r="P60" s="49">
        <f t="shared" si="0"/>
        <v>5.7374999999999998</v>
      </c>
      <c r="Q60" s="12">
        <v>2.4</v>
      </c>
      <c r="R60" s="12"/>
      <c r="S60" s="12">
        <v>17.309999999999999</v>
      </c>
      <c r="T60" s="12">
        <v>3</v>
      </c>
      <c r="U60" s="152"/>
      <c r="V60" s="152">
        <f>S60*T60-P60-Q60-X60-Y60</f>
        <v>31.472499999999997</v>
      </c>
      <c r="W60" s="152"/>
      <c r="X60" s="152">
        <v>1</v>
      </c>
      <c r="Y60" s="12">
        <v>11.32</v>
      </c>
    </row>
    <row r="61" spans="1:25" ht="45" x14ac:dyDescent="0.25">
      <c r="A61" s="145" t="s">
        <v>748</v>
      </c>
      <c r="B61" s="145" t="s">
        <v>228</v>
      </c>
      <c r="C61" s="145" t="s">
        <v>833</v>
      </c>
      <c r="D61" s="100" t="s">
        <v>829</v>
      </c>
      <c r="E61" s="168">
        <v>16.2</v>
      </c>
      <c r="F61" s="145" t="s">
        <v>4</v>
      </c>
      <c r="G61" s="5" t="s">
        <v>437</v>
      </c>
      <c r="H61" s="181" t="s">
        <v>738</v>
      </c>
      <c r="I61" s="5" t="s">
        <v>753</v>
      </c>
      <c r="J61" s="5" t="s">
        <v>754</v>
      </c>
      <c r="K61" s="5" t="s">
        <v>1449</v>
      </c>
      <c r="L61" s="12" t="s">
        <v>10</v>
      </c>
      <c r="M61" s="22" t="s">
        <v>388</v>
      </c>
      <c r="N61" s="150">
        <v>2700</v>
      </c>
      <c r="O61" s="22">
        <v>2125</v>
      </c>
      <c r="P61" s="49">
        <f t="shared" si="0"/>
        <v>5.7374999999999998</v>
      </c>
      <c r="Q61" s="12">
        <v>2.4</v>
      </c>
      <c r="R61" s="12"/>
      <c r="S61" s="12">
        <v>17.32</v>
      </c>
      <c r="T61" s="12">
        <v>3</v>
      </c>
      <c r="U61" s="152"/>
      <c r="V61" s="152">
        <f>S61*T61-P61-Q61-X61-Y61</f>
        <v>31.502500000000005</v>
      </c>
      <c r="W61" s="152"/>
      <c r="X61" s="152">
        <v>1</v>
      </c>
      <c r="Y61" s="12">
        <v>11.32</v>
      </c>
    </row>
    <row r="62" spans="1:25" ht="45" x14ac:dyDescent="0.25">
      <c r="A62" s="145" t="s">
        <v>748</v>
      </c>
      <c r="B62" s="145" t="s">
        <v>228</v>
      </c>
      <c r="C62" s="145" t="s">
        <v>834</v>
      </c>
      <c r="D62" s="100" t="s">
        <v>829</v>
      </c>
      <c r="E62" s="168">
        <v>16.3</v>
      </c>
      <c r="F62" s="145" t="s">
        <v>4</v>
      </c>
      <c r="G62" s="5" t="s">
        <v>437</v>
      </c>
      <c r="H62" s="181" t="s">
        <v>738</v>
      </c>
      <c r="I62" s="5" t="s">
        <v>753</v>
      </c>
      <c r="J62" s="5" t="s">
        <v>754</v>
      </c>
      <c r="K62" s="5" t="s">
        <v>1449</v>
      </c>
      <c r="L62" s="12" t="s">
        <v>10</v>
      </c>
      <c r="M62" s="22" t="s">
        <v>388</v>
      </c>
      <c r="N62" s="150">
        <v>3800</v>
      </c>
      <c r="O62" s="22">
        <v>2125</v>
      </c>
      <c r="P62" s="49">
        <f t="shared" si="0"/>
        <v>8.0749999999999993</v>
      </c>
      <c r="Q62" s="12">
        <v>2.4</v>
      </c>
      <c r="R62" s="12"/>
      <c r="S62" s="12">
        <v>17.09</v>
      </c>
      <c r="T62" s="12">
        <v>3</v>
      </c>
      <c r="U62" s="155"/>
      <c r="V62" s="152">
        <f>S62*T62-P62-Q62-X62-Y62</f>
        <v>34.134999999999991</v>
      </c>
      <c r="W62" s="152"/>
      <c r="X62" s="152">
        <v>1</v>
      </c>
      <c r="Y62" s="12">
        <v>5.66</v>
      </c>
    </row>
    <row r="63" spans="1:25" ht="45" x14ac:dyDescent="0.25">
      <c r="A63" s="145" t="s">
        <v>748</v>
      </c>
      <c r="B63" s="145" t="s">
        <v>228</v>
      </c>
      <c r="C63" s="145" t="s">
        <v>835</v>
      </c>
      <c r="D63" s="100" t="s">
        <v>220</v>
      </c>
      <c r="E63" s="168">
        <v>7.1</v>
      </c>
      <c r="F63" s="145" t="s">
        <v>4</v>
      </c>
      <c r="G63" s="5" t="s">
        <v>437</v>
      </c>
      <c r="H63" s="181" t="s">
        <v>738</v>
      </c>
      <c r="I63" s="5" t="s">
        <v>753</v>
      </c>
      <c r="J63" s="5" t="s">
        <v>754</v>
      </c>
      <c r="K63" s="5" t="s">
        <v>1449</v>
      </c>
      <c r="L63" s="12" t="s">
        <v>81</v>
      </c>
      <c r="M63" s="22" t="s">
        <v>388</v>
      </c>
      <c r="N63" s="150">
        <v>1100</v>
      </c>
      <c r="O63" s="22">
        <v>2125</v>
      </c>
      <c r="P63" s="49">
        <f t="shared" si="0"/>
        <v>2.3374999999999999</v>
      </c>
      <c r="Q63" s="12">
        <v>1.2</v>
      </c>
      <c r="R63" s="12"/>
      <c r="S63" s="12">
        <v>12.9</v>
      </c>
      <c r="T63" s="12">
        <v>2.7</v>
      </c>
      <c r="U63" s="152"/>
      <c r="V63" s="152"/>
      <c r="W63" s="152"/>
      <c r="X63" s="152">
        <f>S63*T63-P63</f>
        <v>32.492500000000007</v>
      </c>
      <c r="Y63" s="12"/>
    </row>
    <row r="64" spans="1:25" ht="45" x14ac:dyDescent="0.25">
      <c r="A64" s="145" t="s">
        <v>748</v>
      </c>
      <c r="B64" s="145" t="s">
        <v>228</v>
      </c>
      <c r="C64" s="145" t="s">
        <v>836</v>
      </c>
      <c r="D64" s="100" t="s">
        <v>809</v>
      </c>
      <c r="E64" s="168">
        <v>16.7</v>
      </c>
      <c r="F64" s="145" t="s">
        <v>4</v>
      </c>
      <c r="G64" s="5" t="s">
        <v>437</v>
      </c>
      <c r="H64" s="181" t="s">
        <v>738</v>
      </c>
      <c r="I64" s="5" t="s">
        <v>753</v>
      </c>
      <c r="J64" s="5" t="s">
        <v>754</v>
      </c>
      <c r="K64" s="5" t="s">
        <v>1449</v>
      </c>
      <c r="L64" s="12" t="s">
        <v>6</v>
      </c>
      <c r="M64" s="22" t="s">
        <v>7</v>
      </c>
      <c r="N64" s="150">
        <v>900</v>
      </c>
      <c r="O64" s="22">
        <v>2125</v>
      </c>
      <c r="P64" s="49">
        <f t="shared" si="0"/>
        <v>1.9124999999999999</v>
      </c>
      <c r="Q64" s="12"/>
      <c r="R64" s="12"/>
      <c r="S64" s="12">
        <v>17.239999999999998</v>
      </c>
      <c r="T64" s="12">
        <v>2.7</v>
      </c>
      <c r="U64" s="49">
        <f>S64*T64-P64-Q64-X64-Y64</f>
        <v>44.6355</v>
      </c>
      <c r="V64" s="152"/>
      <c r="W64" s="152"/>
      <c r="X64" s="152"/>
      <c r="Y64" s="12"/>
    </row>
    <row r="65" spans="1:25" ht="30" x14ac:dyDescent="0.25">
      <c r="A65" s="151" t="s">
        <v>748</v>
      </c>
      <c r="B65" s="151" t="s">
        <v>278</v>
      </c>
      <c r="C65" s="151" t="s">
        <v>837</v>
      </c>
      <c r="D65" s="86" t="s">
        <v>100</v>
      </c>
      <c r="E65" s="170">
        <v>15.7</v>
      </c>
      <c r="F65" s="151" t="s">
        <v>4</v>
      </c>
      <c r="G65" s="53" t="s">
        <v>77</v>
      </c>
      <c r="H65" s="181" t="s">
        <v>738</v>
      </c>
      <c r="I65" s="5"/>
      <c r="J65" s="5"/>
      <c r="K65" s="5" t="s">
        <v>2044</v>
      </c>
      <c r="L65" s="12" t="s">
        <v>10</v>
      </c>
      <c r="M65" s="22" t="s">
        <v>7</v>
      </c>
      <c r="N65" s="150">
        <v>1625</v>
      </c>
      <c r="O65" s="22">
        <v>2125</v>
      </c>
      <c r="P65" s="49">
        <f t="shared" si="0"/>
        <v>3.453125</v>
      </c>
      <c r="Q65" s="12">
        <v>3.45</v>
      </c>
      <c r="R65" s="12">
        <v>1.1599999999999999</v>
      </c>
      <c r="S65" s="12">
        <v>18.170000000000002</v>
      </c>
      <c r="T65" s="12">
        <v>3</v>
      </c>
      <c r="U65" s="35">
        <f>S65*T65-P65-Q65-X65-Y65</f>
        <v>47.606875000000002</v>
      </c>
      <c r="V65" s="152"/>
      <c r="W65" s="152"/>
      <c r="X65" s="152"/>
      <c r="Y65" s="12"/>
    </row>
    <row r="66" spans="1:25" ht="30" x14ac:dyDescent="0.25">
      <c r="A66" s="151" t="s">
        <v>748</v>
      </c>
      <c r="B66" s="151" t="s">
        <v>278</v>
      </c>
      <c r="C66" s="151" t="s">
        <v>838</v>
      </c>
      <c r="D66" s="86" t="s">
        <v>101</v>
      </c>
      <c r="E66" s="170">
        <v>2.6</v>
      </c>
      <c r="F66" s="151" t="s">
        <v>4</v>
      </c>
      <c r="G66" s="53" t="s">
        <v>77</v>
      </c>
      <c r="H66" s="181" t="s">
        <v>738</v>
      </c>
      <c r="I66" s="5"/>
      <c r="J66" s="5"/>
      <c r="K66" s="5" t="s">
        <v>2044</v>
      </c>
      <c r="L66" s="12" t="s">
        <v>81</v>
      </c>
      <c r="M66" s="22" t="s">
        <v>7</v>
      </c>
      <c r="N66" s="150">
        <v>750</v>
      </c>
      <c r="O66" s="22">
        <v>2125</v>
      </c>
      <c r="P66" s="49">
        <f t="shared" si="0"/>
        <v>1.59375</v>
      </c>
      <c r="Q66" s="12"/>
      <c r="R66" s="12"/>
      <c r="S66" s="12">
        <v>6.6</v>
      </c>
      <c r="T66" s="12">
        <v>2.6</v>
      </c>
      <c r="U66" s="152"/>
      <c r="V66" s="152"/>
      <c r="W66" s="152"/>
      <c r="X66" s="152">
        <f>S66*T66-P66</f>
        <v>15.56625</v>
      </c>
      <c r="Y66" s="12"/>
    </row>
    <row r="67" spans="1:25" ht="30" x14ac:dyDescent="0.25">
      <c r="A67" s="151" t="s">
        <v>748</v>
      </c>
      <c r="B67" s="151" t="s">
        <v>278</v>
      </c>
      <c r="C67" s="151" t="s">
        <v>839</v>
      </c>
      <c r="D67" s="86" t="s">
        <v>100</v>
      </c>
      <c r="E67" s="170">
        <v>16.8</v>
      </c>
      <c r="F67" s="151" t="s">
        <v>4</v>
      </c>
      <c r="G67" s="53" t="s">
        <v>77</v>
      </c>
      <c r="H67" s="181" t="s">
        <v>738</v>
      </c>
      <c r="I67" s="5"/>
      <c r="J67" s="5"/>
      <c r="K67" s="5" t="s">
        <v>2044</v>
      </c>
      <c r="L67" s="12" t="s">
        <v>10</v>
      </c>
      <c r="M67" s="22" t="s">
        <v>7</v>
      </c>
      <c r="N67" s="150">
        <v>1625</v>
      </c>
      <c r="O67" s="22">
        <v>2125</v>
      </c>
      <c r="P67" s="49">
        <f t="shared" si="0"/>
        <v>3.453125</v>
      </c>
      <c r="Q67" s="12">
        <v>3.45</v>
      </c>
      <c r="R67" s="12">
        <v>1.1599999999999999</v>
      </c>
      <c r="S67" s="12">
        <v>18.54</v>
      </c>
      <c r="T67" s="12">
        <v>3</v>
      </c>
      <c r="U67" s="35">
        <f>S67*T67-P67-Q67-X67-Y67</f>
        <v>48.716874999999995</v>
      </c>
      <c r="V67" s="152"/>
      <c r="W67" s="152"/>
      <c r="X67" s="152"/>
      <c r="Y67" s="12"/>
    </row>
    <row r="68" spans="1:25" ht="30" x14ac:dyDescent="0.25">
      <c r="A68" s="151" t="s">
        <v>748</v>
      </c>
      <c r="B68" s="151" t="s">
        <v>278</v>
      </c>
      <c r="C68" s="151" t="s">
        <v>840</v>
      </c>
      <c r="D68" s="86" t="s">
        <v>101</v>
      </c>
      <c r="E68" s="170">
        <v>2.6</v>
      </c>
      <c r="F68" s="151" t="s">
        <v>4</v>
      </c>
      <c r="G68" s="53" t="s">
        <v>77</v>
      </c>
      <c r="H68" s="181" t="s">
        <v>738</v>
      </c>
      <c r="I68" s="5"/>
      <c r="J68" s="5"/>
      <c r="K68" s="5" t="s">
        <v>2044</v>
      </c>
      <c r="L68" s="12" t="s">
        <v>81</v>
      </c>
      <c r="M68" s="22" t="s">
        <v>7</v>
      </c>
      <c r="N68" s="150">
        <v>750</v>
      </c>
      <c r="O68" s="22">
        <v>2125</v>
      </c>
      <c r="P68" s="49">
        <f t="shared" si="0"/>
        <v>1.59375</v>
      </c>
      <c r="Q68" s="12"/>
      <c r="R68" s="12"/>
      <c r="S68" s="12">
        <v>6.6</v>
      </c>
      <c r="T68" s="12">
        <v>2.6</v>
      </c>
      <c r="U68" s="152"/>
      <c r="V68" s="152"/>
      <c r="W68" s="152"/>
      <c r="X68" s="152">
        <f>S68*T68-P68</f>
        <v>15.56625</v>
      </c>
      <c r="Y68" s="12"/>
    </row>
    <row r="69" spans="1:25" ht="30" x14ac:dyDescent="0.25">
      <c r="A69" s="151" t="s">
        <v>748</v>
      </c>
      <c r="B69" s="151" t="s">
        <v>278</v>
      </c>
      <c r="C69" s="151" t="s">
        <v>841</v>
      </c>
      <c r="D69" s="86" t="s">
        <v>842</v>
      </c>
      <c r="E69" s="170">
        <v>14.9</v>
      </c>
      <c r="F69" s="151" t="s">
        <v>4</v>
      </c>
      <c r="G69" s="53" t="s">
        <v>77</v>
      </c>
      <c r="H69" s="181" t="s">
        <v>738</v>
      </c>
      <c r="I69" s="5"/>
      <c r="J69" s="5"/>
      <c r="K69" s="5" t="s">
        <v>2044</v>
      </c>
      <c r="L69" s="12" t="s">
        <v>10</v>
      </c>
      <c r="M69" s="22" t="s">
        <v>7</v>
      </c>
      <c r="N69" s="150">
        <v>1750</v>
      </c>
      <c r="O69" s="22">
        <v>2125</v>
      </c>
      <c r="P69" s="49">
        <f t="shared" ref="P69:P90" si="3">N69*O69*0.000001</f>
        <v>3.71875</v>
      </c>
      <c r="Q69" s="12">
        <v>3.45</v>
      </c>
      <c r="R69" s="12">
        <v>1.1599999999999999</v>
      </c>
      <c r="S69" s="12">
        <v>17.5</v>
      </c>
      <c r="T69" s="12">
        <v>3</v>
      </c>
      <c r="U69" s="35">
        <f t="shared" ref="U69:U74" si="4">S69*T69-P69-Q69-X69-Y69</f>
        <v>45.331249999999997</v>
      </c>
      <c r="V69" s="152"/>
      <c r="W69" s="152"/>
      <c r="X69" s="152"/>
      <c r="Y69" s="12"/>
    </row>
    <row r="70" spans="1:25" ht="30" x14ac:dyDescent="0.25">
      <c r="A70" s="151" t="s">
        <v>748</v>
      </c>
      <c r="B70" s="151" t="s">
        <v>278</v>
      </c>
      <c r="C70" s="151" t="s">
        <v>843</v>
      </c>
      <c r="D70" s="86" t="s">
        <v>842</v>
      </c>
      <c r="E70" s="170">
        <v>15.6</v>
      </c>
      <c r="F70" s="151" t="s">
        <v>4</v>
      </c>
      <c r="G70" s="53" t="s">
        <v>77</v>
      </c>
      <c r="H70" s="181" t="s">
        <v>738</v>
      </c>
      <c r="I70" s="5"/>
      <c r="J70" s="5"/>
      <c r="K70" s="5" t="s">
        <v>2044</v>
      </c>
      <c r="L70" s="12" t="s">
        <v>10</v>
      </c>
      <c r="M70" s="22" t="s">
        <v>7</v>
      </c>
      <c r="N70" s="150">
        <v>1750</v>
      </c>
      <c r="O70" s="22">
        <v>2125</v>
      </c>
      <c r="P70" s="49">
        <f t="shared" si="3"/>
        <v>3.71875</v>
      </c>
      <c r="Q70" s="12">
        <v>3.45</v>
      </c>
      <c r="R70" s="12">
        <v>1.1599999999999999</v>
      </c>
      <c r="S70" s="12">
        <v>17.75</v>
      </c>
      <c r="T70" s="12">
        <v>3</v>
      </c>
      <c r="U70" s="35">
        <f t="shared" si="4"/>
        <v>46.081249999999997</v>
      </c>
      <c r="V70" s="152"/>
      <c r="W70" s="152"/>
      <c r="X70" s="152"/>
      <c r="Y70" s="12"/>
    </row>
    <row r="71" spans="1:25" ht="30" x14ac:dyDescent="0.25">
      <c r="A71" s="151" t="s">
        <v>748</v>
      </c>
      <c r="B71" s="151" t="s">
        <v>278</v>
      </c>
      <c r="C71" s="151" t="s">
        <v>844</v>
      </c>
      <c r="D71" s="86" t="s">
        <v>100</v>
      </c>
      <c r="E71" s="170">
        <v>14.3</v>
      </c>
      <c r="F71" s="151" t="s">
        <v>4</v>
      </c>
      <c r="G71" s="53" t="s">
        <v>77</v>
      </c>
      <c r="H71" s="181" t="s">
        <v>738</v>
      </c>
      <c r="I71" s="5"/>
      <c r="J71" s="5"/>
      <c r="K71" s="5" t="s">
        <v>2044</v>
      </c>
      <c r="L71" s="12" t="s">
        <v>10</v>
      </c>
      <c r="M71" s="22" t="s">
        <v>7</v>
      </c>
      <c r="N71" s="150">
        <v>875</v>
      </c>
      <c r="O71" s="22">
        <v>2125</v>
      </c>
      <c r="P71" s="49">
        <f t="shared" si="3"/>
        <v>1.859375</v>
      </c>
      <c r="Q71" s="12">
        <v>3.45</v>
      </c>
      <c r="R71" s="12">
        <v>1.1599999999999999</v>
      </c>
      <c r="S71" s="12">
        <v>15.23</v>
      </c>
      <c r="T71" s="12">
        <v>3</v>
      </c>
      <c r="U71" s="49">
        <f t="shared" si="4"/>
        <v>40.380624999999995</v>
      </c>
      <c r="V71" s="152"/>
      <c r="W71" s="152"/>
      <c r="X71" s="152"/>
      <c r="Y71" s="12"/>
    </row>
    <row r="72" spans="1:25" ht="30" x14ac:dyDescent="0.25">
      <c r="A72" s="151" t="s">
        <v>748</v>
      </c>
      <c r="B72" s="151" t="s">
        <v>278</v>
      </c>
      <c r="C72" s="151" t="s">
        <v>845</v>
      </c>
      <c r="D72" s="86" t="s">
        <v>100</v>
      </c>
      <c r="E72" s="170">
        <v>13.3</v>
      </c>
      <c r="F72" s="151" t="s">
        <v>4</v>
      </c>
      <c r="G72" s="53" t="s">
        <v>77</v>
      </c>
      <c r="H72" s="181" t="s">
        <v>738</v>
      </c>
      <c r="I72" s="5"/>
      <c r="J72" s="5"/>
      <c r="K72" s="5" t="s">
        <v>2044</v>
      </c>
      <c r="L72" s="12" t="s">
        <v>10</v>
      </c>
      <c r="M72" s="22" t="s">
        <v>7</v>
      </c>
      <c r="N72" s="150">
        <v>875</v>
      </c>
      <c r="O72" s="22">
        <v>2125</v>
      </c>
      <c r="P72" s="49">
        <f t="shared" si="3"/>
        <v>1.859375</v>
      </c>
      <c r="Q72" s="12">
        <v>3.45</v>
      </c>
      <c r="R72" s="12">
        <v>1.1599999999999999</v>
      </c>
      <c r="S72" s="12">
        <v>14.73</v>
      </c>
      <c r="T72" s="12">
        <v>3</v>
      </c>
      <c r="U72" s="35">
        <f t="shared" si="4"/>
        <v>38.880624999999995</v>
      </c>
      <c r="V72" s="152"/>
      <c r="W72" s="152"/>
      <c r="X72" s="152"/>
      <c r="Y72" s="12"/>
    </row>
    <row r="73" spans="1:25" ht="30" x14ac:dyDescent="0.25">
      <c r="A73" s="151" t="s">
        <v>748</v>
      </c>
      <c r="B73" s="151" t="s">
        <v>278</v>
      </c>
      <c r="C73" s="151" t="s">
        <v>846</v>
      </c>
      <c r="D73" s="86" t="s">
        <v>80</v>
      </c>
      <c r="E73" s="170">
        <v>3.2</v>
      </c>
      <c r="F73" s="151" t="s">
        <v>4</v>
      </c>
      <c r="G73" s="53" t="s">
        <v>77</v>
      </c>
      <c r="H73" s="181" t="s">
        <v>738</v>
      </c>
      <c r="I73" s="5"/>
      <c r="J73" s="5"/>
      <c r="K73" s="5" t="s">
        <v>2044</v>
      </c>
      <c r="L73" s="12" t="s">
        <v>6</v>
      </c>
      <c r="M73" s="22" t="s">
        <v>7</v>
      </c>
      <c r="N73" s="150">
        <v>875</v>
      </c>
      <c r="O73" s="22">
        <v>2125</v>
      </c>
      <c r="P73" s="49">
        <f t="shared" si="3"/>
        <v>1.859375</v>
      </c>
      <c r="Q73" s="12"/>
      <c r="R73" s="12"/>
      <c r="S73" s="12">
        <v>7.25</v>
      </c>
      <c r="T73" s="12">
        <v>2.6</v>
      </c>
      <c r="U73" s="49">
        <f t="shared" si="4"/>
        <v>16.990625000000001</v>
      </c>
      <c r="V73" s="152"/>
      <c r="W73" s="152"/>
      <c r="X73" s="152"/>
      <c r="Y73" s="12"/>
    </row>
    <row r="74" spans="1:25" ht="30" x14ac:dyDescent="0.25">
      <c r="A74" s="151" t="s">
        <v>748</v>
      </c>
      <c r="B74" s="151" t="s">
        <v>278</v>
      </c>
      <c r="C74" s="151" t="s">
        <v>847</v>
      </c>
      <c r="D74" s="86" t="s">
        <v>3</v>
      </c>
      <c r="E74" s="170">
        <v>4.0999999999999996</v>
      </c>
      <c r="F74" s="151" t="s">
        <v>4</v>
      </c>
      <c r="G74" s="53" t="s">
        <v>77</v>
      </c>
      <c r="H74" s="181" t="s">
        <v>738</v>
      </c>
      <c r="I74" s="5"/>
      <c r="J74" s="5"/>
      <c r="K74" s="5" t="s">
        <v>2044</v>
      </c>
      <c r="L74" s="12" t="s">
        <v>6</v>
      </c>
      <c r="M74" s="22" t="s">
        <v>7</v>
      </c>
      <c r="N74" s="150">
        <v>3375</v>
      </c>
      <c r="O74" s="22">
        <v>2125</v>
      </c>
      <c r="P74" s="49">
        <f t="shared" si="3"/>
        <v>7.171875</v>
      </c>
      <c r="Q74" s="12"/>
      <c r="R74" s="12"/>
      <c r="S74" s="12">
        <v>8.36</v>
      </c>
      <c r="T74" s="12">
        <v>2.6</v>
      </c>
      <c r="U74" s="49">
        <f t="shared" si="4"/>
        <v>12.564125000000001</v>
      </c>
      <c r="V74" s="152"/>
      <c r="W74" s="152"/>
      <c r="X74" s="152">
        <v>2</v>
      </c>
      <c r="Y74" s="12"/>
    </row>
    <row r="75" spans="1:25" ht="30" x14ac:dyDescent="0.25">
      <c r="A75" s="151" t="s">
        <v>748</v>
      </c>
      <c r="B75" s="151" t="s">
        <v>278</v>
      </c>
      <c r="C75" s="151" t="s">
        <v>848</v>
      </c>
      <c r="D75" s="86" t="s">
        <v>101</v>
      </c>
      <c r="E75" s="170">
        <v>2.6</v>
      </c>
      <c r="F75" s="151" t="s">
        <v>4</v>
      </c>
      <c r="G75" s="53" t="s">
        <v>77</v>
      </c>
      <c r="H75" s="181" t="s">
        <v>738</v>
      </c>
      <c r="I75" s="5"/>
      <c r="J75" s="5"/>
      <c r="K75" s="5" t="s">
        <v>2044</v>
      </c>
      <c r="L75" s="12" t="s">
        <v>81</v>
      </c>
      <c r="M75" s="22" t="s">
        <v>7</v>
      </c>
      <c r="N75" s="150">
        <v>750</v>
      </c>
      <c r="O75" s="22">
        <v>2125</v>
      </c>
      <c r="P75" s="49">
        <f t="shared" si="3"/>
        <v>1.59375</v>
      </c>
      <c r="Q75" s="12"/>
      <c r="R75" s="12"/>
      <c r="S75" s="12">
        <v>6.6</v>
      </c>
      <c r="T75" s="12">
        <v>2.6</v>
      </c>
      <c r="U75" s="155"/>
      <c r="V75" s="152"/>
      <c r="W75" s="152"/>
      <c r="X75" s="152">
        <f>S75*T75-P75</f>
        <v>15.56625</v>
      </c>
      <c r="Y75" s="12"/>
    </row>
    <row r="76" spans="1:25" ht="30" x14ac:dyDescent="0.25">
      <c r="A76" s="151" t="s">
        <v>748</v>
      </c>
      <c r="B76" s="151" t="s">
        <v>278</v>
      </c>
      <c r="C76" s="151" t="s">
        <v>849</v>
      </c>
      <c r="D76" s="86" t="s">
        <v>374</v>
      </c>
      <c r="E76" s="170">
        <v>21.4</v>
      </c>
      <c r="F76" s="151" t="s">
        <v>4</v>
      </c>
      <c r="G76" s="53" t="s">
        <v>77</v>
      </c>
      <c r="H76" s="181" t="s">
        <v>738</v>
      </c>
      <c r="I76" s="5"/>
      <c r="J76" s="5"/>
      <c r="K76" s="5" t="s">
        <v>2044</v>
      </c>
      <c r="L76" s="12" t="s">
        <v>10</v>
      </c>
      <c r="M76" s="22" t="s">
        <v>7</v>
      </c>
      <c r="N76" s="150">
        <v>2000</v>
      </c>
      <c r="O76" s="22">
        <v>2125</v>
      </c>
      <c r="P76" s="49">
        <f t="shared" si="3"/>
        <v>4.25</v>
      </c>
      <c r="Q76" s="12">
        <v>12.07</v>
      </c>
      <c r="R76" s="12">
        <v>2.1</v>
      </c>
      <c r="S76" s="12">
        <v>18.600000000000001</v>
      </c>
      <c r="T76" s="12">
        <v>3</v>
      </c>
      <c r="U76" s="152">
        <f>S76*0.4</f>
        <v>7.4400000000000013</v>
      </c>
      <c r="V76" s="152"/>
      <c r="W76" s="152">
        <f>S76*T76-U76-Y76-P76-Q76</f>
        <v>32.04</v>
      </c>
      <c r="X76" s="152"/>
      <c r="Y76" s="12"/>
    </row>
    <row r="77" spans="1:25" ht="30" x14ac:dyDescent="0.25">
      <c r="A77" s="151" t="s">
        <v>748</v>
      </c>
      <c r="B77" s="151" t="s">
        <v>278</v>
      </c>
      <c r="C77" s="151" t="s">
        <v>850</v>
      </c>
      <c r="D77" s="86" t="s">
        <v>3</v>
      </c>
      <c r="E77" s="170">
        <v>2.6</v>
      </c>
      <c r="F77" s="151" t="s">
        <v>4</v>
      </c>
      <c r="G77" s="53" t="s">
        <v>77</v>
      </c>
      <c r="H77" s="181" t="s">
        <v>738</v>
      </c>
      <c r="I77" s="5"/>
      <c r="J77" s="5"/>
      <c r="K77" s="5" t="s">
        <v>2044</v>
      </c>
      <c r="L77" s="12" t="s">
        <v>6</v>
      </c>
      <c r="M77" s="22" t="s">
        <v>7</v>
      </c>
      <c r="N77" s="150">
        <v>1625</v>
      </c>
      <c r="O77" s="22">
        <v>2125</v>
      </c>
      <c r="P77" s="49">
        <f t="shared" si="3"/>
        <v>3.453125</v>
      </c>
      <c r="Q77" s="12"/>
      <c r="R77" s="12"/>
      <c r="S77" s="12">
        <v>6.5</v>
      </c>
      <c r="T77" s="12">
        <v>2.6</v>
      </c>
      <c r="U77" s="152">
        <f>S77*T77-P77-X77</f>
        <v>3.2500000000000018</v>
      </c>
      <c r="V77" s="152"/>
      <c r="W77" s="152"/>
      <c r="X77" s="152">
        <f>S77*2.1-P77</f>
        <v>10.196875</v>
      </c>
      <c r="Y77" s="12"/>
    </row>
    <row r="78" spans="1:25" ht="30" x14ac:dyDescent="0.25">
      <c r="A78" s="151" t="s">
        <v>748</v>
      </c>
      <c r="B78" s="151" t="s">
        <v>278</v>
      </c>
      <c r="C78" s="151" t="s">
        <v>851</v>
      </c>
      <c r="D78" s="86" t="s">
        <v>101</v>
      </c>
      <c r="E78" s="170">
        <v>2.9</v>
      </c>
      <c r="F78" s="151" t="s">
        <v>4</v>
      </c>
      <c r="G78" s="53" t="s">
        <v>77</v>
      </c>
      <c r="H78" s="181" t="s">
        <v>738</v>
      </c>
      <c r="I78" s="5"/>
      <c r="J78" s="5"/>
      <c r="K78" s="5" t="s">
        <v>2044</v>
      </c>
      <c r="L78" s="12" t="s">
        <v>81</v>
      </c>
      <c r="M78" s="22" t="s">
        <v>7</v>
      </c>
      <c r="N78" s="150">
        <v>750</v>
      </c>
      <c r="O78" s="22">
        <v>2125</v>
      </c>
      <c r="P78" s="49">
        <f t="shared" si="3"/>
        <v>1.59375</v>
      </c>
      <c r="Q78" s="12"/>
      <c r="R78" s="12"/>
      <c r="S78" s="12">
        <v>7.4</v>
      </c>
      <c r="T78" s="12">
        <v>2.6</v>
      </c>
      <c r="U78" s="155"/>
      <c r="V78" s="152"/>
      <c r="W78" s="152"/>
      <c r="X78" s="152">
        <f>S78*T78-P78</f>
        <v>17.646250000000002</v>
      </c>
      <c r="Y78" s="12"/>
    </row>
    <row r="79" spans="1:25" ht="30" x14ac:dyDescent="0.25">
      <c r="A79" s="151" t="s">
        <v>748</v>
      </c>
      <c r="B79" s="151" t="s">
        <v>278</v>
      </c>
      <c r="C79" s="151" t="s">
        <v>852</v>
      </c>
      <c r="D79" s="86" t="s">
        <v>373</v>
      </c>
      <c r="E79" s="170">
        <v>11.7</v>
      </c>
      <c r="F79" s="151" t="s">
        <v>4</v>
      </c>
      <c r="G79" s="53" t="s">
        <v>77</v>
      </c>
      <c r="H79" s="181" t="s">
        <v>738</v>
      </c>
      <c r="I79" s="5"/>
      <c r="J79" s="5"/>
      <c r="K79" s="5" t="s">
        <v>2044</v>
      </c>
      <c r="L79" s="12" t="s">
        <v>10</v>
      </c>
      <c r="M79" s="22" t="s">
        <v>7</v>
      </c>
      <c r="N79" s="150">
        <v>3125</v>
      </c>
      <c r="O79" s="22">
        <v>2125</v>
      </c>
      <c r="P79" s="49">
        <f t="shared" si="3"/>
        <v>6.640625</v>
      </c>
      <c r="Q79" s="12"/>
      <c r="R79" s="12"/>
      <c r="S79" s="12">
        <v>14.76</v>
      </c>
      <c r="T79" s="12">
        <v>3</v>
      </c>
      <c r="U79" s="155">
        <f>S79*0.4</f>
        <v>5.9039999999999999</v>
      </c>
      <c r="V79" s="152"/>
      <c r="W79" s="152">
        <f>S79*T79-U79-Y79-P79-Q79</f>
        <v>31.735375000000005</v>
      </c>
      <c r="X79" s="152"/>
      <c r="Y79" s="12"/>
    </row>
    <row r="80" spans="1:25" ht="30" x14ac:dyDescent="0.25">
      <c r="A80" s="151" t="s">
        <v>748</v>
      </c>
      <c r="B80" s="151" t="s">
        <v>278</v>
      </c>
      <c r="C80" s="151" t="s">
        <v>853</v>
      </c>
      <c r="D80" s="86" t="s">
        <v>151</v>
      </c>
      <c r="E80" s="170">
        <v>3.1</v>
      </c>
      <c r="F80" s="151" t="s">
        <v>4</v>
      </c>
      <c r="G80" s="53" t="s">
        <v>77</v>
      </c>
      <c r="H80" s="181" t="s">
        <v>738</v>
      </c>
      <c r="I80" s="5"/>
      <c r="J80" s="5"/>
      <c r="K80" s="5" t="s">
        <v>2044</v>
      </c>
      <c r="L80" s="12" t="s">
        <v>6</v>
      </c>
      <c r="M80" s="22" t="s">
        <v>7</v>
      </c>
      <c r="N80" s="150">
        <v>875</v>
      </c>
      <c r="O80" s="22">
        <v>2125</v>
      </c>
      <c r="P80" s="49">
        <f t="shared" si="3"/>
        <v>1.859375</v>
      </c>
      <c r="Q80" s="12"/>
      <c r="R80" s="12"/>
      <c r="S80" s="12">
        <v>7.51</v>
      </c>
      <c r="T80" s="12">
        <v>2.6</v>
      </c>
      <c r="U80" s="152">
        <f>S80*T80-P80-X80</f>
        <v>3.754999999999999</v>
      </c>
      <c r="V80" s="152"/>
      <c r="W80" s="152"/>
      <c r="X80" s="152">
        <f>S80*2.1-P80</f>
        <v>13.911625000000001</v>
      </c>
      <c r="Y80" s="12"/>
    </row>
    <row r="81" spans="1:25" ht="30" x14ac:dyDescent="0.25">
      <c r="A81" s="145" t="s">
        <v>748</v>
      </c>
      <c r="B81" s="145" t="s">
        <v>228</v>
      </c>
      <c r="C81" s="145" t="s">
        <v>854</v>
      </c>
      <c r="D81" s="100" t="s">
        <v>55</v>
      </c>
      <c r="E81" s="168">
        <v>45.3</v>
      </c>
      <c r="F81" s="145" t="s">
        <v>4</v>
      </c>
      <c r="G81" s="53" t="s">
        <v>77</v>
      </c>
      <c r="H81" s="181" t="s">
        <v>738</v>
      </c>
      <c r="I81" s="5"/>
      <c r="J81" s="5"/>
      <c r="K81" s="5" t="s">
        <v>2044</v>
      </c>
      <c r="L81" s="12" t="s">
        <v>6</v>
      </c>
      <c r="M81" s="22" t="s">
        <v>7</v>
      </c>
      <c r="N81" s="150">
        <v>12675</v>
      </c>
      <c r="O81" s="22">
        <v>2125</v>
      </c>
      <c r="P81" s="49">
        <f t="shared" si="3"/>
        <v>26.934374999999999</v>
      </c>
      <c r="Q81" s="12"/>
      <c r="R81" s="12"/>
      <c r="S81" s="12">
        <v>42.6</v>
      </c>
      <c r="T81" s="12">
        <v>2.7</v>
      </c>
      <c r="U81" s="35">
        <f t="shared" ref="U81:U89" si="5">S81*T81-P81-Q81-X81-Y81</f>
        <v>86.315625000000011</v>
      </c>
      <c r="V81" s="152"/>
      <c r="W81" s="152"/>
      <c r="X81" s="152"/>
      <c r="Y81" s="12">
        <v>1.77</v>
      </c>
    </row>
    <row r="82" spans="1:25" ht="30" x14ac:dyDescent="0.25">
      <c r="A82" s="145" t="s">
        <v>748</v>
      </c>
      <c r="B82" s="145" t="s">
        <v>228</v>
      </c>
      <c r="C82" s="145" t="s">
        <v>855</v>
      </c>
      <c r="D82" s="100" t="s">
        <v>856</v>
      </c>
      <c r="E82" s="168">
        <v>17.7</v>
      </c>
      <c r="F82" s="145" t="s">
        <v>4</v>
      </c>
      <c r="G82" s="53" t="s">
        <v>77</v>
      </c>
      <c r="H82" s="181" t="s">
        <v>738</v>
      </c>
      <c r="I82" s="5"/>
      <c r="J82" s="5"/>
      <c r="K82" s="5" t="s">
        <v>2044</v>
      </c>
      <c r="L82" s="12" t="s">
        <v>10</v>
      </c>
      <c r="M82" s="22" t="s">
        <v>7</v>
      </c>
      <c r="N82" s="150">
        <v>875</v>
      </c>
      <c r="O82" s="22">
        <v>2125</v>
      </c>
      <c r="P82" s="49">
        <f t="shared" si="3"/>
        <v>1.859375</v>
      </c>
      <c r="Q82" s="12">
        <v>3.45</v>
      </c>
      <c r="R82" s="12">
        <v>1.1599999999999999</v>
      </c>
      <c r="S82" s="12">
        <v>18.23</v>
      </c>
      <c r="T82" s="12">
        <v>3</v>
      </c>
      <c r="U82" s="35">
        <f t="shared" si="5"/>
        <v>47.380624999999995</v>
      </c>
      <c r="V82" s="152"/>
      <c r="W82" s="152"/>
      <c r="X82" s="152">
        <v>2</v>
      </c>
      <c r="Y82" s="12"/>
    </row>
    <row r="83" spans="1:25" ht="30" x14ac:dyDescent="0.25">
      <c r="A83" s="145" t="s">
        <v>748</v>
      </c>
      <c r="B83" s="145" t="s">
        <v>228</v>
      </c>
      <c r="C83" s="145" t="s">
        <v>857</v>
      </c>
      <c r="D83" s="100" t="s">
        <v>372</v>
      </c>
      <c r="E83" s="168">
        <v>18.2</v>
      </c>
      <c r="F83" s="145" t="s">
        <v>4</v>
      </c>
      <c r="G83" s="53" t="s">
        <v>77</v>
      </c>
      <c r="H83" s="181" t="s">
        <v>738</v>
      </c>
      <c r="I83" s="5"/>
      <c r="J83" s="5"/>
      <c r="K83" s="5" t="s">
        <v>2044</v>
      </c>
      <c r="L83" s="12" t="s">
        <v>10</v>
      </c>
      <c r="M83" s="22" t="s">
        <v>7</v>
      </c>
      <c r="N83" s="150">
        <v>875</v>
      </c>
      <c r="O83" s="22">
        <v>2125</v>
      </c>
      <c r="P83" s="49">
        <f t="shared" si="3"/>
        <v>1.859375</v>
      </c>
      <c r="Q83" s="12">
        <v>4.1399999999999997</v>
      </c>
      <c r="R83" s="12">
        <v>1.1599999999999999</v>
      </c>
      <c r="S83" s="12">
        <v>18.41</v>
      </c>
      <c r="T83" s="12">
        <v>3</v>
      </c>
      <c r="U83" s="35">
        <f t="shared" si="5"/>
        <v>47.230625000000003</v>
      </c>
      <c r="V83" s="152"/>
      <c r="W83" s="152"/>
      <c r="X83" s="152">
        <v>2</v>
      </c>
      <c r="Y83" s="12"/>
    </row>
    <row r="84" spans="1:25" ht="30" x14ac:dyDescent="0.25">
      <c r="A84" s="145" t="s">
        <v>748</v>
      </c>
      <c r="B84" s="145" t="s">
        <v>228</v>
      </c>
      <c r="C84" s="145" t="s">
        <v>858</v>
      </c>
      <c r="D84" s="100" t="s">
        <v>100</v>
      </c>
      <c r="E84" s="168">
        <v>18.2</v>
      </c>
      <c r="F84" s="145" t="s">
        <v>4</v>
      </c>
      <c r="G84" s="53" t="s">
        <v>77</v>
      </c>
      <c r="H84" s="181" t="s">
        <v>738</v>
      </c>
      <c r="I84" s="5"/>
      <c r="J84" s="5"/>
      <c r="K84" s="5" t="s">
        <v>2044</v>
      </c>
      <c r="L84" s="12" t="s">
        <v>10</v>
      </c>
      <c r="M84" s="22" t="s">
        <v>7</v>
      </c>
      <c r="N84" s="150">
        <v>875</v>
      </c>
      <c r="O84" s="22">
        <v>2125</v>
      </c>
      <c r="P84" s="49">
        <f t="shared" si="3"/>
        <v>1.859375</v>
      </c>
      <c r="Q84" s="12">
        <v>3.45</v>
      </c>
      <c r="R84" s="12">
        <v>1.1599999999999999</v>
      </c>
      <c r="S84" s="12">
        <v>18.41</v>
      </c>
      <c r="T84" s="12">
        <v>3</v>
      </c>
      <c r="U84" s="35">
        <f t="shared" si="5"/>
        <v>47.920625000000001</v>
      </c>
      <c r="V84" s="152"/>
      <c r="W84" s="152"/>
      <c r="X84" s="152">
        <v>2</v>
      </c>
      <c r="Y84" s="12"/>
    </row>
    <row r="85" spans="1:25" ht="30" x14ac:dyDescent="0.25">
      <c r="A85" s="145" t="s">
        <v>748</v>
      </c>
      <c r="B85" s="145" t="s">
        <v>228</v>
      </c>
      <c r="C85" s="145" t="s">
        <v>859</v>
      </c>
      <c r="D85" s="100" t="s">
        <v>222</v>
      </c>
      <c r="E85" s="168">
        <v>17.899999999999999</v>
      </c>
      <c r="F85" s="145" t="s">
        <v>4</v>
      </c>
      <c r="G85" s="53" t="s">
        <v>77</v>
      </c>
      <c r="H85" s="181" t="s">
        <v>738</v>
      </c>
      <c r="I85" s="5"/>
      <c r="J85" s="5"/>
      <c r="K85" s="5" t="s">
        <v>2044</v>
      </c>
      <c r="L85" s="12" t="s">
        <v>10</v>
      </c>
      <c r="M85" s="22" t="s">
        <v>7</v>
      </c>
      <c r="N85" s="150">
        <v>875</v>
      </c>
      <c r="O85" s="22">
        <v>2125</v>
      </c>
      <c r="P85" s="49">
        <f t="shared" si="3"/>
        <v>1.859375</v>
      </c>
      <c r="Q85" s="12">
        <v>3.45</v>
      </c>
      <c r="R85" s="12">
        <v>1.1599999999999999</v>
      </c>
      <c r="S85" s="12">
        <v>18.91</v>
      </c>
      <c r="T85" s="12">
        <v>3</v>
      </c>
      <c r="U85" s="35">
        <f t="shared" si="5"/>
        <v>49.420625000000001</v>
      </c>
      <c r="V85" s="152"/>
      <c r="W85" s="152"/>
      <c r="X85" s="152">
        <v>2</v>
      </c>
      <c r="Y85" s="12"/>
    </row>
    <row r="86" spans="1:25" ht="30" x14ac:dyDescent="0.25">
      <c r="A86" s="145" t="s">
        <v>748</v>
      </c>
      <c r="B86" s="145" t="s">
        <v>228</v>
      </c>
      <c r="C86" s="145" t="s">
        <v>860</v>
      </c>
      <c r="D86" s="100" t="s">
        <v>100</v>
      </c>
      <c r="E86" s="168">
        <v>18</v>
      </c>
      <c r="F86" s="145" t="s">
        <v>4</v>
      </c>
      <c r="G86" s="53" t="s">
        <v>77</v>
      </c>
      <c r="H86" s="181" t="s">
        <v>738</v>
      </c>
      <c r="I86" s="5"/>
      <c r="J86" s="5"/>
      <c r="K86" s="5" t="s">
        <v>2044</v>
      </c>
      <c r="L86" s="12" t="s">
        <v>10</v>
      </c>
      <c r="M86" s="22" t="s">
        <v>7</v>
      </c>
      <c r="N86" s="150">
        <v>875</v>
      </c>
      <c r="O86" s="22">
        <v>2125</v>
      </c>
      <c r="P86" s="49">
        <f t="shared" si="3"/>
        <v>1.859375</v>
      </c>
      <c r="Q86" s="12">
        <v>4.1399999999999997</v>
      </c>
      <c r="R86" s="12">
        <v>1.1599999999999999</v>
      </c>
      <c r="S86" s="12">
        <v>18.32</v>
      </c>
      <c r="T86" s="12">
        <v>3</v>
      </c>
      <c r="U86" s="35">
        <f t="shared" si="5"/>
        <v>46.960625</v>
      </c>
      <c r="V86" s="152"/>
      <c r="W86" s="152"/>
      <c r="X86" s="152">
        <v>2</v>
      </c>
      <c r="Y86" s="12"/>
    </row>
    <row r="87" spans="1:25" ht="30" x14ac:dyDescent="0.25">
      <c r="A87" s="145" t="s">
        <v>748</v>
      </c>
      <c r="B87" s="145" t="s">
        <v>228</v>
      </c>
      <c r="C87" s="145" t="s">
        <v>861</v>
      </c>
      <c r="D87" s="100" t="s">
        <v>222</v>
      </c>
      <c r="E87" s="168">
        <v>17.8</v>
      </c>
      <c r="F87" s="145" t="s">
        <v>4</v>
      </c>
      <c r="G87" s="53" t="s">
        <v>77</v>
      </c>
      <c r="H87" s="181" t="s">
        <v>738</v>
      </c>
      <c r="I87" s="5"/>
      <c r="J87" s="5"/>
      <c r="K87" s="5" t="s">
        <v>2044</v>
      </c>
      <c r="L87" s="12" t="s">
        <v>10</v>
      </c>
      <c r="M87" s="22" t="s">
        <v>7</v>
      </c>
      <c r="N87" s="150">
        <v>875</v>
      </c>
      <c r="O87" s="22">
        <v>2125</v>
      </c>
      <c r="P87" s="49">
        <f t="shared" si="3"/>
        <v>1.859375</v>
      </c>
      <c r="Q87" s="12">
        <v>3.45</v>
      </c>
      <c r="R87" s="12">
        <v>1.1599999999999999</v>
      </c>
      <c r="S87" s="12">
        <v>18.32</v>
      </c>
      <c r="T87" s="12">
        <v>3</v>
      </c>
      <c r="U87" s="35">
        <f t="shared" si="5"/>
        <v>47.650624999999998</v>
      </c>
      <c r="V87" s="152"/>
      <c r="W87" s="152"/>
      <c r="X87" s="152">
        <v>2</v>
      </c>
      <c r="Y87" s="12"/>
    </row>
    <row r="88" spans="1:25" ht="45" x14ac:dyDescent="0.25">
      <c r="A88" s="145" t="s">
        <v>748</v>
      </c>
      <c r="B88" s="146" t="s">
        <v>228</v>
      </c>
      <c r="C88" s="146" t="s">
        <v>862</v>
      </c>
      <c r="D88" s="233" t="s">
        <v>221</v>
      </c>
      <c r="E88" s="173">
        <v>17.100000000000001</v>
      </c>
      <c r="F88" s="146" t="s">
        <v>4</v>
      </c>
      <c r="G88" s="62" t="s">
        <v>77</v>
      </c>
      <c r="H88" s="181" t="s">
        <v>738</v>
      </c>
      <c r="I88" s="62" t="s">
        <v>753</v>
      </c>
      <c r="J88" s="5" t="s">
        <v>754</v>
      </c>
      <c r="K88" s="62" t="s">
        <v>1449</v>
      </c>
      <c r="L88" s="56" t="s">
        <v>10</v>
      </c>
      <c r="M88" s="22" t="s">
        <v>7</v>
      </c>
      <c r="N88" s="150">
        <v>1125</v>
      </c>
      <c r="O88" s="22">
        <v>2125</v>
      </c>
      <c r="P88" s="49">
        <f t="shared" si="3"/>
        <v>2.390625</v>
      </c>
      <c r="Q88" s="12">
        <v>3.45</v>
      </c>
      <c r="R88" s="12">
        <v>2.3199999999999998</v>
      </c>
      <c r="S88" s="12">
        <v>17.95</v>
      </c>
      <c r="T88" s="12">
        <v>3</v>
      </c>
      <c r="U88" s="35">
        <f t="shared" si="5"/>
        <v>44.40937499999999</v>
      </c>
      <c r="V88" s="152"/>
      <c r="W88" s="152"/>
      <c r="X88" s="152">
        <v>3.6</v>
      </c>
      <c r="Y88" s="12"/>
    </row>
    <row r="89" spans="1:25" ht="45" x14ac:dyDescent="0.25">
      <c r="A89" s="145" t="s">
        <v>748</v>
      </c>
      <c r="B89" s="145" t="s">
        <v>228</v>
      </c>
      <c r="C89" s="145" t="s">
        <v>864</v>
      </c>
      <c r="D89" s="100" t="s">
        <v>865</v>
      </c>
      <c r="E89" s="168">
        <v>23</v>
      </c>
      <c r="F89" s="145" t="s">
        <v>4</v>
      </c>
      <c r="G89" s="5" t="s">
        <v>77</v>
      </c>
      <c r="H89" s="181" t="s">
        <v>738</v>
      </c>
      <c r="I89" s="5" t="s">
        <v>753</v>
      </c>
      <c r="J89" s="5" t="s">
        <v>754</v>
      </c>
      <c r="K89" s="62" t="s">
        <v>1449</v>
      </c>
      <c r="L89" s="12" t="s">
        <v>10</v>
      </c>
      <c r="M89" s="6" t="s">
        <v>7</v>
      </c>
      <c r="N89" s="150">
        <v>1875</v>
      </c>
      <c r="O89" s="6">
        <v>2125</v>
      </c>
      <c r="P89" s="35">
        <f t="shared" si="3"/>
        <v>3.984375</v>
      </c>
      <c r="Q89" s="12">
        <v>5.17</v>
      </c>
      <c r="R89" s="12"/>
      <c r="S89" s="12">
        <v>20.46</v>
      </c>
      <c r="T89" s="12">
        <v>3</v>
      </c>
      <c r="U89" s="35">
        <f t="shared" si="5"/>
        <v>52.225625000000001</v>
      </c>
      <c r="V89" s="152"/>
      <c r="W89" s="152"/>
      <c r="X89" s="152"/>
      <c r="Y89" s="12"/>
    </row>
    <row r="90" spans="1:25" ht="45" x14ac:dyDescent="0.25">
      <c r="A90" s="153" t="s">
        <v>748</v>
      </c>
      <c r="B90" s="153" t="s">
        <v>228</v>
      </c>
      <c r="C90" s="226" t="s">
        <v>866</v>
      </c>
      <c r="D90" s="234" t="s">
        <v>65</v>
      </c>
      <c r="E90" s="228">
        <v>1.58</v>
      </c>
      <c r="F90" s="139" t="s">
        <v>4</v>
      </c>
      <c r="G90" s="21" t="s">
        <v>77</v>
      </c>
      <c r="H90" s="181" t="s">
        <v>738</v>
      </c>
      <c r="I90" s="21" t="s">
        <v>753</v>
      </c>
      <c r="J90" s="5" t="s">
        <v>754</v>
      </c>
      <c r="K90" s="5" t="s">
        <v>1449</v>
      </c>
      <c r="L90" s="219" t="s">
        <v>6</v>
      </c>
      <c r="M90" s="22" t="s">
        <v>7</v>
      </c>
      <c r="N90" s="154">
        <v>750</v>
      </c>
      <c r="O90" s="22">
        <v>2125</v>
      </c>
      <c r="P90" s="49">
        <f t="shared" si="3"/>
        <v>1.59375</v>
      </c>
      <c r="Q90" s="24"/>
      <c r="R90" s="24"/>
      <c r="S90" s="24">
        <v>5.2</v>
      </c>
      <c r="T90" s="24">
        <v>2.6</v>
      </c>
      <c r="U90" s="155"/>
      <c r="V90" s="155"/>
      <c r="W90" s="155"/>
      <c r="X90" s="155">
        <f>S90*T90-P90</f>
        <v>11.926250000000001</v>
      </c>
      <c r="Y90" s="24"/>
    </row>
    <row r="91" spans="1:25" s="284" customFormat="1" ht="17.25" x14ac:dyDescent="0.25">
      <c r="A91" s="282"/>
      <c r="C91" s="280" t="s">
        <v>274</v>
      </c>
      <c r="D91" s="305"/>
      <c r="E91" s="298">
        <f>SUM(E5:E90)</f>
        <v>1246.7800000000002</v>
      </c>
      <c r="F91" s="281" t="s">
        <v>1560</v>
      </c>
    </row>
    <row r="92" spans="1:25" x14ac:dyDescent="0.25">
      <c r="E92" s="229"/>
    </row>
    <row r="93" spans="1:25" x14ac:dyDescent="0.25">
      <c r="C93" s="278" t="s">
        <v>1807</v>
      </c>
      <c r="D93" s="342"/>
      <c r="E93" s="358"/>
      <c r="F93" s="65"/>
    </row>
    <row r="94" spans="1:25" ht="17.25" x14ac:dyDescent="0.25">
      <c r="C94" s="65"/>
      <c r="D94" s="358" t="s">
        <v>1808</v>
      </c>
      <c r="E94" s="345">
        <f>SUM(E5:E9)</f>
        <v>49.6</v>
      </c>
      <c r="F94" s="342" t="s">
        <v>1560</v>
      </c>
    </row>
    <row r="95" spans="1:25" ht="17.25" x14ac:dyDescent="0.25">
      <c r="C95" s="65"/>
      <c r="D95" s="358" t="s">
        <v>37</v>
      </c>
      <c r="E95" s="345">
        <f>SUM(E10:E64)</f>
        <v>855.00000000000011</v>
      </c>
      <c r="F95" s="342" t="s">
        <v>1560</v>
      </c>
    </row>
    <row r="96" spans="1:25" ht="17.25" x14ac:dyDescent="0.25">
      <c r="C96" s="65"/>
      <c r="D96" s="358" t="s">
        <v>77</v>
      </c>
      <c r="E96" s="345">
        <f>SUM(E65:E90)</f>
        <v>342.17999999999995</v>
      </c>
      <c r="F96" s="342" t="s">
        <v>1560</v>
      </c>
    </row>
    <row r="97" spans="3:6" ht="17.25" x14ac:dyDescent="0.25">
      <c r="C97" s="65"/>
      <c r="D97" s="358" t="s">
        <v>229</v>
      </c>
      <c r="E97" s="345">
        <v>0</v>
      </c>
      <c r="F97" s="342" t="s">
        <v>1560</v>
      </c>
    </row>
    <row r="98" spans="3:6" ht="17.25" x14ac:dyDescent="0.25">
      <c r="C98" s="65"/>
      <c r="D98" s="359" t="s">
        <v>274</v>
      </c>
      <c r="E98" s="345">
        <f>SUM(E94:E97)</f>
        <v>1246.7800000000002</v>
      </c>
      <c r="F98" s="342" t="s">
        <v>1560</v>
      </c>
    </row>
    <row r="99" spans="3:6" x14ac:dyDescent="0.25">
      <c r="C99" s="65"/>
      <c r="D99" s="359"/>
      <c r="E99" s="345"/>
      <c r="F99" s="342"/>
    </row>
    <row r="100" spans="3:6" x14ac:dyDescent="0.25">
      <c r="C100" s="284" t="s">
        <v>2001</v>
      </c>
    </row>
    <row r="101" spans="3:6" x14ac:dyDescent="0.25">
      <c r="C101" s="284" t="s">
        <v>1989</v>
      </c>
    </row>
    <row r="102" spans="3:6" x14ac:dyDescent="0.25">
      <c r="C102" s="284" t="s">
        <v>1964</v>
      </c>
      <c r="D102" s="305"/>
    </row>
    <row r="103" spans="3:6" x14ac:dyDescent="0.25">
      <c r="C103" s="504" t="s">
        <v>1968</v>
      </c>
      <c r="D103" s="305"/>
      <c r="E103" s="503" t="s">
        <v>1982</v>
      </c>
      <c r="F103" s="284" t="s">
        <v>1984</v>
      </c>
    </row>
    <row r="104" spans="3:6" x14ac:dyDescent="0.25">
      <c r="C104" s="504" t="s">
        <v>1969</v>
      </c>
      <c r="D104" s="305"/>
      <c r="E104" s="503" t="s">
        <v>1983</v>
      </c>
      <c r="F104" s="284" t="s">
        <v>379</v>
      </c>
    </row>
    <row r="105" spans="3:6" x14ac:dyDescent="0.25">
      <c r="C105" s="284" t="s">
        <v>2079</v>
      </c>
      <c r="D105" s="305"/>
    </row>
  </sheetData>
  <sheetProtection password="87E5" sheet="1" objects="1" scenarios="1"/>
  <mergeCells count="26">
    <mergeCell ref="G1:G4"/>
    <mergeCell ref="A1:F2"/>
    <mergeCell ref="A3:A4"/>
    <mergeCell ref="B3:B4"/>
    <mergeCell ref="C3:C4"/>
    <mergeCell ref="D3:D4"/>
    <mergeCell ref="E3:F4"/>
    <mergeCell ref="H1:H4"/>
    <mergeCell ref="M1:O4"/>
    <mergeCell ref="P1:P4"/>
    <mergeCell ref="I1:I4"/>
    <mergeCell ref="J1:J4"/>
    <mergeCell ref="K1:K4"/>
    <mergeCell ref="L1:L4"/>
    <mergeCell ref="Q1:Q4"/>
    <mergeCell ref="R1:R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</mergeCells>
  <dataValidations count="1">
    <dataValidation type="list" allowBlank="1" showInputMessage="1" showErrorMessage="1" sqref="G8:G90">
      <formula1>kat</formula1>
    </dataValidation>
  </dataValidations>
  <printOptions horizontalCentered="1"/>
  <pageMargins left="0.11811023622047245" right="0.11811023622047245" top="0.15748031496062992" bottom="0.35433070866141736" header="0.31496062992125984" footer="0.31496062992125984"/>
  <pageSetup paperSize="9" scale="60" orientation="landscape" r:id="rId1"/>
  <headerFooter>
    <oddFooter>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zoomScale="80" zoomScaleNormal="80" workbookViewId="0">
      <pane xSplit="7" ySplit="4" topLeftCell="H92" activePane="bottomRight" state="frozen"/>
      <selection pane="topRight" activeCell="H1" sqref="H1"/>
      <selection pane="bottomLeft" activeCell="A5" sqref="A5"/>
      <selection pane="bottomRight" activeCell="C111" sqref="C111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5.140625" bestFit="1" customWidth="1"/>
    <col min="5" max="5" width="8.7109375" bestFit="1" customWidth="1"/>
    <col min="6" max="6" width="4.42578125" bestFit="1" customWidth="1"/>
    <col min="7" max="7" width="10.5703125" customWidth="1"/>
    <col min="8" max="8" width="14.5703125" customWidth="1"/>
    <col min="9" max="9" width="9.42578125" customWidth="1"/>
    <col min="10" max="10" width="10.28515625" customWidth="1"/>
    <col min="11" max="11" width="32" customWidth="1"/>
    <col min="12" max="12" width="10.42578125" style="64" customWidth="1"/>
    <col min="13" max="13" width="7.7109375" customWidth="1"/>
    <col min="14" max="14" width="7.140625" customWidth="1"/>
    <col min="15" max="15" width="5.5703125" customWidth="1"/>
    <col min="16" max="16" width="7.5703125" customWidth="1"/>
    <col min="17" max="17" width="8.28515625" customWidth="1"/>
    <col min="18" max="18" width="8.7109375" customWidth="1"/>
    <col min="19" max="19" width="7.85546875" customWidth="1"/>
    <col min="20" max="20" width="7" customWidth="1"/>
    <col min="21" max="21" width="7.85546875" customWidth="1"/>
    <col min="22" max="22" width="6" customWidth="1"/>
    <col min="23" max="23" width="7.28515625" customWidth="1"/>
    <col min="24" max="24" width="8.140625" customWidth="1"/>
    <col min="25" max="25" width="8.85546875" customWidth="1"/>
  </cols>
  <sheetData>
    <row r="1" spans="1:25" s="15" customFormat="1" ht="15" customHeight="1" x14ac:dyDescent="0.25">
      <c r="A1" s="642" t="s">
        <v>868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0.75" customHeigh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ht="30" x14ac:dyDescent="0.25">
      <c r="A5" s="44" t="s">
        <v>139</v>
      </c>
      <c r="B5" s="44" t="s">
        <v>278</v>
      </c>
      <c r="C5" s="44" t="s">
        <v>869</v>
      </c>
      <c r="D5" s="44" t="s">
        <v>294</v>
      </c>
      <c r="E5" s="46">
        <v>34.5</v>
      </c>
      <c r="F5" s="44" t="s">
        <v>4</v>
      </c>
      <c r="G5" s="22" t="s">
        <v>5</v>
      </c>
      <c r="H5" s="180" t="s">
        <v>738</v>
      </c>
      <c r="I5" s="21"/>
      <c r="J5" s="22" t="s">
        <v>194</v>
      </c>
      <c r="K5" s="21" t="s">
        <v>1993</v>
      </c>
      <c r="L5" s="90" t="s">
        <v>6</v>
      </c>
      <c r="M5" s="24" t="s">
        <v>7</v>
      </c>
      <c r="N5" s="154">
        <v>1500</v>
      </c>
      <c r="O5" s="22">
        <v>2125</v>
      </c>
      <c r="P5" s="49">
        <f t="shared" ref="P5:P68" si="0">N5*O5*0.000001</f>
        <v>3.1875</v>
      </c>
      <c r="Q5" s="25"/>
      <c r="R5" s="24"/>
      <c r="S5" s="25">
        <v>20.52</v>
      </c>
      <c r="T5" s="24">
        <v>3</v>
      </c>
      <c r="U5" s="11">
        <f t="shared" ref="U5:U7" si="1">S5*T5-P5-Q5-X5-Y5</f>
        <v>58.372500000000002</v>
      </c>
      <c r="V5" s="24"/>
      <c r="W5" s="24"/>
      <c r="X5" s="25"/>
      <c r="Y5" s="25"/>
    </row>
    <row r="6" spans="1:25" s="178" customFormat="1" ht="30" x14ac:dyDescent="0.25">
      <c r="A6" s="139" t="s">
        <v>139</v>
      </c>
      <c r="B6" s="139" t="s">
        <v>228</v>
      </c>
      <c r="C6" s="139" t="s">
        <v>870</v>
      </c>
      <c r="D6" s="139" t="s">
        <v>148</v>
      </c>
      <c r="E6" s="190">
        <v>4.5</v>
      </c>
      <c r="F6" s="139" t="s">
        <v>4</v>
      </c>
      <c r="G6" s="6" t="s">
        <v>5</v>
      </c>
      <c r="H6" s="180" t="s">
        <v>738</v>
      </c>
      <c r="I6" s="5"/>
      <c r="J6" s="6" t="s">
        <v>194</v>
      </c>
      <c r="K6" s="21" t="s">
        <v>1993</v>
      </c>
      <c r="L6" s="84" t="s">
        <v>6</v>
      </c>
      <c r="M6" s="12" t="s">
        <v>7</v>
      </c>
      <c r="N6" s="150">
        <v>3125</v>
      </c>
      <c r="O6" s="22">
        <v>2125</v>
      </c>
      <c r="P6" s="49">
        <f t="shared" si="0"/>
        <v>6.640625</v>
      </c>
      <c r="Q6" s="13"/>
      <c r="R6" s="12"/>
      <c r="S6" s="13">
        <v>8.56</v>
      </c>
      <c r="T6" s="12">
        <v>3</v>
      </c>
      <c r="U6" s="11">
        <f t="shared" si="1"/>
        <v>19.039375</v>
      </c>
      <c r="V6" s="12"/>
      <c r="W6" s="12"/>
      <c r="X6" s="13"/>
      <c r="Y6" s="13"/>
    </row>
    <row r="7" spans="1:25" ht="30" x14ac:dyDescent="0.25">
      <c r="A7" s="139" t="s">
        <v>139</v>
      </c>
      <c r="B7" s="139" t="s">
        <v>228</v>
      </c>
      <c r="C7" s="139" t="s">
        <v>871</v>
      </c>
      <c r="D7" s="139" t="s">
        <v>55</v>
      </c>
      <c r="E7" s="190">
        <v>47.5</v>
      </c>
      <c r="F7" s="139" t="s">
        <v>4</v>
      </c>
      <c r="G7" s="6" t="s">
        <v>5</v>
      </c>
      <c r="H7" s="180" t="s">
        <v>738</v>
      </c>
      <c r="I7" s="5"/>
      <c r="J7" s="6" t="s">
        <v>194</v>
      </c>
      <c r="K7" s="21" t="s">
        <v>1993</v>
      </c>
      <c r="L7" s="84" t="s">
        <v>6</v>
      </c>
      <c r="M7" s="12" t="s">
        <v>7</v>
      </c>
      <c r="N7" s="150">
        <v>18725</v>
      </c>
      <c r="O7" s="22">
        <v>2125</v>
      </c>
      <c r="P7" s="49">
        <f t="shared" si="0"/>
        <v>39.790624999999999</v>
      </c>
      <c r="Q7" s="13">
        <v>3.45</v>
      </c>
      <c r="R7" s="12"/>
      <c r="S7" s="13">
        <v>52.6</v>
      </c>
      <c r="T7" s="12">
        <v>3</v>
      </c>
      <c r="U7" s="11">
        <f t="shared" si="1"/>
        <v>114.559375</v>
      </c>
      <c r="V7" s="12"/>
      <c r="W7" s="12"/>
      <c r="X7" s="13"/>
      <c r="Y7" s="13"/>
    </row>
    <row r="8" spans="1:25" ht="30" x14ac:dyDescent="0.25">
      <c r="A8" s="139" t="s">
        <v>139</v>
      </c>
      <c r="B8" s="139" t="s">
        <v>228</v>
      </c>
      <c r="C8" s="139" t="s">
        <v>872</v>
      </c>
      <c r="D8" s="139" t="s">
        <v>873</v>
      </c>
      <c r="E8" s="190">
        <v>16.7</v>
      </c>
      <c r="F8" s="139" t="s">
        <v>4</v>
      </c>
      <c r="G8" s="6" t="s">
        <v>5</v>
      </c>
      <c r="H8" s="180" t="s">
        <v>738</v>
      </c>
      <c r="I8" s="5"/>
      <c r="J8" s="6" t="s">
        <v>194</v>
      </c>
      <c r="K8" s="21" t="s">
        <v>1993</v>
      </c>
      <c r="L8" s="84" t="s">
        <v>6</v>
      </c>
      <c r="M8" s="12" t="s">
        <v>7</v>
      </c>
      <c r="N8" s="150">
        <v>2000</v>
      </c>
      <c r="O8" s="22">
        <v>2125</v>
      </c>
      <c r="P8" s="49">
        <f t="shared" si="0"/>
        <v>4.25</v>
      </c>
      <c r="Q8" s="13">
        <v>3.57</v>
      </c>
      <c r="R8" s="12">
        <v>1.18</v>
      </c>
      <c r="S8" s="13">
        <v>16.5</v>
      </c>
      <c r="T8" s="12">
        <v>3</v>
      </c>
      <c r="U8" s="13"/>
      <c r="V8" s="12"/>
      <c r="W8" s="12"/>
      <c r="X8" s="47">
        <f t="shared" ref="X8:X15" si="2">S8*T8-P8-Q8-Y8</f>
        <v>41.68</v>
      </c>
      <c r="Y8" s="13"/>
    </row>
    <row r="9" spans="1:25" s="178" customFormat="1" ht="30" x14ac:dyDescent="0.25">
      <c r="A9" s="139" t="s">
        <v>139</v>
      </c>
      <c r="B9" s="139" t="s">
        <v>228</v>
      </c>
      <c r="C9" s="139" t="s">
        <v>874</v>
      </c>
      <c r="D9" s="139" t="s">
        <v>875</v>
      </c>
      <c r="E9" s="190">
        <v>39.1</v>
      </c>
      <c r="F9" s="139" t="s">
        <v>4</v>
      </c>
      <c r="G9" s="6" t="s">
        <v>5</v>
      </c>
      <c r="H9" s="180" t="s">
        <v>738</v>
      </c>
      <c r="I9" s="5"/>
      <c r="J9" s="6" t="s">
        <v>194</v>
      </c>
      <c r="K9" s="21" t="s">
        <v>1993</v>
      </c>
      <c r="L9" s="84" t="s">
        <v>6</v>
      </c>
      <c r="M9" s="12" t="s">
        <v>7</v>
      </c>
      <c r="N9" s="150">
        <v>2875</v>
      </c>
      <c r="O9" s="22">
        <v>2125</v>
      </c>
      <c r="P9" s="49">
        <f t="shared" si="0"/>
        <v>6.109375</v>
      </c>
      <c r="Q9" s="13">
        <v>7.02</v>
      </c>
      <c r="R9" s="12">
        <v>1.18</v>
      </c>
      <c r="S9" s="13">
        <v>25.05</v>
      </c>
      <c r="T9" s="12">
        <v>3</v>
      </c>
      <c r="U9" s="25"/>
      <c r="V9" s="12"/>
      <c r="W9" s="12"/>
      <c r="X9" s="47">
        <f t="shared" si="2"/>
        <v>62.02062500000001</v>
      </c>
      <c r="Y9" s="13"/>
    </row>
    <row r="10" spans="1:25" s="178" customFormat="1" ht="30" x14ac:dyDescent="0.25">
      <c r="A10" s="139" t="s">
        <v>139</v>
      </c>
      <c r="B10" s="139" t="s">
        <v>228</v>
      </c>
      <c r="C10" s="139" t="s">
        <v>876</v>
      </c>
      <c r="D10" s="139" t="s">
        <v>877</v>
      </c>
      <c r="E10" s="190">
        <v>18.7</v>
      </c>
      <c r="F10" s="139" t="s">
        <v>4</v>
      </c>
      <c r="G10" s="6" t="s">
        <v>5</v>
      </c>
      <c r="H10" s="180" t="s">
        <v>738</v>
      </c>
      <c r="I10" s="5"/>
      <c r="J10" s="6" t="s">
        <v>194</v>
      </c>
      <c r="K10" s="21" t="s">
        <v>1993</v>
      </c>
      <c r="L10" s="84" t="s">
        <v>6</v>
      </c>
      <c r="M10" s="12" t="s">
        <v>7</v>
      </c>
      <c r="N10" s="150">
        <v>1125</v>
      </c>
      <c r="O10" s="22">
        <v>2125</v>
      </c>
      <c r="P10" s="49">
        <f t="shared" si="0"/>
        <v>2.390625</v>
      </c>
      <c r="Q10" s="13">
        <v>2.67</v>
      </c>
      <c r="R10" s="12">
        <v>0.87</v>
      </c>
      <c r="S10" s="13">
        <v>18.850000000000001</v>
      </c>
      <c r="T10" s="12">
        <v>3</v>
      </c>
      <c r="U10" s="25"/>
      <c r="V10" s="12"/>
      <c r="W10" s="12"/>
      <c r="X10" s="47">
        <f t="shared" si="2"/>
        <v>50.389375000000001</v>
      </c>
      <c r="Y10" s="13">
        <v>1.1000000000000001</v>
      </c>
    </row>
    <row r="11" spans="1:25" s="178" customFormat="1" ht="30" x14ac:dyDescent="0.25">
      <c r="A11" s="139" t="s">
        <v>139</v>
      </c>
      <c r="B11" s="139" t="s">
        <v>228</v>
      </c>
      <c r="C11" s="139" t="s">
        <v>878</v>
      </c>
      <c r="D11" s="139" t="s">
        <v>879</v>
      </c>
      <c r="E11" s="190">
        <v>8.1</v>
      </c>
      <c r="F11" s="139" t="s">
        <v>4</v>
      </c>
      <c r="G11" s="6" t="s">
        <v>5</v>
      </c>
      <c r="H11" s="180" t="s">
        <v>738</v>
      </c>
      <c r="I11" s="5"/>
      <c r="J11" s="6" t="s">
        <v>194</v>
      </c>
      <c r="K11" s="21" t="s">
        <v>1993</v>
      </c>
      <c r="L11" s="84" t="s">
        <v>6</v>
      </c>
      <c r="M11" s="12" t="s">
        <v>7</v>
      </c>
      <c r="N11" s="150">
        <v>1125</v>
      </c>
      <c r="O11" s="22">
        <v>2125</v>
      </c>
      <c r="P11" s="49">
        <f t="shared" si="0"/>
        <v>2.390625</v>
      </c>
      <c r="Q11" s="13">
        <v>2.67</v>
      </c>
      <c r="R11" s="12">
        <v>0.87</v>
      </c>
      <c r="S11" s="13">
        <v>11.35</v>
      </c>
      <c r="T11" s="12">
        <v>3</v>
      </c>
      <c r="U11" s="25"/>
      <c r="V11" s="12"/>
      <c r="W11" s="12"/>
      <c r="X11" s="47">
        <f t="shared" si="2"/>
        <v>28.989374999999995</v>
      </c>
      <c r="Y11" s="13"/>
    </row>
    <row r="12" spans="1:25" s="178" customFormat="1" ht="30" x14ac:dyDescent="0.25">
      <c r="A12" s="139" t="s">
        <v>139</v>
      </c>
      <c r="B12" s="139" t="s">
        <v>228</v>
      </c>
      <c r="C12" s="139" t="s">
        <v>880</v>
      </c>
      <c r="D12" s="139" t="s">
        <v>715</v>
      </c>
      <c r="E12" s="190">
        <v>10.5</v>
      </c>
      <c r="F12" s="139" t="s">
        <v>4</v>
      </c>
      <c r="G12" s="6" t="s">
        <v>5</v>
      </c>
      <c r="H12" s="180" t="s">
        <v>738</v>
      </c>
      <c r="I12" s="5"/>
      <c r="J12" s="6" t="s">
        <v>194</v>
      </c>
      <c r="K12" s="21" t="s">
        <v>1993</v>
      </c>
      <c r="L12" s="84" t="s">
        <v>6</v>
      </c>
      <c r="M12" s="12" t="s">
        <v>7</v>
      </c>
      <c r="N12" s="150">
        <v>1125</v>
      </c>
      <c r="O12" s="22">
        <v>2125</v>
      </c>
      <c r="P12" s="49">
        <f t="shared" si="0"/>
        <v>2.390625</v>
      </c>
      <c r="Q12" s="13"/>
      <c r="R12" s="12"/>
      <c r="S12" s="13">
        <v>13.05</v>
      </c>
      <c r="T12" s="12">
        <v>3</v>
      </c>
      <c r="U12" s="13"/>
      <c r="V12" s="12"/>
      <c r="W12" s="12"/>
      <c r="X12" s="47">
        <f t="shared" si="2"/>
        <v>34.559375000000003</v>
      </c>
      <c r="Y12" s="13">
        <v>2.2000000000000002</v>
      </c>
    </row>
    <row r="13" spans="1:25" s="178" customFormat="1" ht="30" x14ac:dyDescent="0.25">
      <c r="A13" s="139" t="s">
        <v>139</v>
      </c>
      <c r="B13" s="139" t="s">
        <v>228</v>
      </c>
      <c r="C13" s="139" t="s">
        <v>881</v>
      </c>
      <c r="D13" s="139" t="s">
        <v>882</v>
      </c>
      <c r="E13" s="190">
        <v>19.600000000000001</v>
      </c>
      <c r="F13" s="139" t="s">
        <v>4</v>
      </c>
      <c r="G13" s="6" t="s">
        <v>5</v>
      </c>
      <c r="H13" s="180" t="s">
        <v>738</v>
      </c>
      <c r="I13" s="5"/>
      <c r="J13" s="6" t="s">
        <v>194</v>
      </c>
      <c r="K13" s="21" t="s">
        <v>1993</v>
      </c>
      <c r="L13" s="84" t="s">
        <v>6</v>
      </c>
      <c r="M13" s="12" t="s">
        <v>7</v>
      </c>
      <c r="N13" s="150">
        <v>1125</v>
      </c>
      <c r="O13" s="22">
        <v>2125</v>
      </c>
      <c r="P13" s="49">
        <f t="shared" si="0"/>
        <v>2.390625</v>
      </c>
      <c r="Q13" s="13">
        <v>3.45</v>
      </c>
      <c r="R13" s="12">
        <v>2.25</v>
      </c>
      <c r="S13" s="13">
        <v>19.100000000000001</v>
      </c>
      <c r="T13" s="12">
        <v>3</v>
      </c>
      <c r="U13" s="13"/>
      <c r="V13" s="12"/>
      <c r="W13" s="12"/>
      <c r="X13" s="47">
        <f t="shared" si="2"/>
        <v>50.359375</v>
      </c>
      <c r="Y13" s="13">
        <v>1.1000000000000001</v>
      </c>
    </row>
    <row r="14" spans="1:25" s="178" customFormat="1" ht="30" x14ac:dyDescent="0.25">
      <c r="A14" s="139" t="s">
        <v>139</v>
      </c>
      <c r="B14" s="139" t="s">
        <v>228</v>
      </c>
      <c r="C14" s="139" t="s">
        <v>883</v>
      </c>
      <c r="D14" s="139" t="s">
        <v>884</v>
      </c>
      <c r="E14" s="190">
        <v>3.3</v>
      </c>
      <c r="F14" s="139" t="s">
        <v>4</v>
      </c>
      <c r="G14" s="6" t="s">
        <v>5</v>
      </c>
      <c r="H14" s="180" t="s">
        <v>738</v>
      </c>
      <c r="I14" s="5"/>
      <c r="J14" s="6" t="s">
        <v>194</v>
      </c>
      <c r="K14" s="21" t="s">
        <v>1993</v>
      </c>
      <c r="L14" s="84" t="s">
        <v>6</v>
      </c>
      <c r="M14" s="12" t="s">
        <v>7</v>
      </c>
      <c r="N14" s="150">
        <v>2250</v>
      </c>
      <c r="O14" s="22">
        <v>2125</v>
      </c>
      <c r="P14" s="49">
        <f t="shared" si="0"/>
        <v>4.78125</v>
      </c>
      <c r="Q14" s="13"/>
      <c r="R14" s="12"/>
      <c r="S14" s="13">
        <v>8.1</v>
      </c>
      <c r="T14" s="12">
        <v>3</v>
      </c>
      <c r="U14" s="25"/>
      <c r="V14" s="12"/>
      <c r="W14" s="12"/>
      <c r="X14" s="47">
        <f t="shared" si="2"/>
        <v>19.518749999999997</v>
      </c>
      <c r="Y14" s="13"/>
    </row>
    <row r="15" spans="1:25" s="178" customFormat="1" ht="30" x14ac:dyDescent="0.25">
      <c r="A15" s="139" t="s">
        <v>139</v>
      </c>
      <c r="B15" s="139" t="s">
        <v>228</v>
      </c>
      <c r="C15" s="139" t="s">
        <v>885</v>
      </c>
      <c r="D15" s="139" t="s">
        <v>886</v>
      </c>
      <c r="E15" s="190">
        <v>15.8</v>
      </c>
      <c r="F15" s="139" t="s">
        <v>4</v>
      </c>
      <c r="G15" s="6" t="s">
        <v>5</v>
      </c>
      <c r="H15" s="180" t="s">
        <v>738</v>
      </c>
      <c r="I15" s="5"/>
      <c r="J15" s="6" t="s">
        <v>194</v>
      </c>
      <c r="K15" s="21" t="s">
        <v>1993</v>
      </c>
      <c r="L15" s="84" t="s">
        <v>6</v>
      </c>
      <c r="M15" s="12" t="s">
        <v>7</v>
      </c>
      <c r="N15" s="150">
        <v>1125</v>
      </c>
      <c r="O15" s="22">
        <v>2125</v>
      </c>
      <c r="P15" s="49">
        <f t="shared" si="0"/>
        <v>2.390625</v>
      </c>
      <c r="Q15" s="13">
        <v>3.45</v>
      </c>
      <c r="R15" s="12">
        <v>2.25</v>
      </c>
      <c r="S15" s="13">
        <v>16.600000000000001</v>
      </c>
      <c r="T15" s="12">
        <v>3</v>
      </c>
      <c r="U15" s="25"/>
      <c r="V15" s="12"/>
      <c r="W15" s="12"/>
      <c r="X15" s="47">
        <f t="shared" si="2"/>
        <v>43.959375000000001</v>
      </c>
      <c r="Y15" s="13"/>
    </row>
    <row r="16" spans="1:25" s="178" customFormat="1" ht="30" x14ac:dyDescent="0.25">
      <c r="A16" s="139" t="s">
        <v>139</v>
      </c>
      <c r="B16" s="139" t="s">
        <v>228</v>
      </c>
      <c r="C16" s="139" t="s">
        <v>887</v>
      </c>
      <c r="D16" s="139" t="s">
        <v>80</v>
      </c>
      <c r="E16" s="190">
        <v>5.4</v>
      </c>
      <c r="F16" s="139" t="s">
        <v>4</v>
      </c>
      <c r="G16" s="6" t="s">
        <v>5</v>
      </c>
      <c r="H16" s="180" t="s">
        <v>738</v>
      </c>
      <c r="I16" s="5"/>
      <c r="J16" s="6" t="s">
        <v>194</v>
      </c>
      <c r="K16" s="21" t="s">
        <v>1993</v>
      </c>
      <c r="L16" s="84" t="s">
        <v>6</v>
      </c>
      <c r="M16" s="12" t="s">
        <v>7</v>
      </c>
      <c r="N16" s="150">
        <v>900</v>
      </c>
      <c r="O16" s="22">
        <v>2125</v>
      </c>
      <c r="P16" s="49">
        <f t="shared" si="0"/>
        <v>1.9124999999999999</v>
      </c>
      <c r="Q16" s="13"/>
      <c r="R16" s="12"/>
      <c r="S16" s="13">
        <v>10</v>
      </c>
      <c r="T16" s="12">
        <v>2.6</v>
      </c>
      <c r="U16" s="16">
        <f>S16*T16-P16-Q16-X16-Y16</f>
        <v>24.087499999999999</v>
      </c>
      <c r="V16" s="12"/>
      <c r="W16" s="12"/>
      <c r="X16" s="13"/>
      <c r="Y16" s="13"/>
    </row>
    <row r="17" spans="1:25" ht="30" x14ac:dyDescent="0.25">
      <c r="A17" s="139" t="s">
        <v>139</v>
      </c>
      <c r="B17" s="139" t="s">
        <v>228</v>
      </c>
      <c r="C17" s="139" t="s">
        <v>888</v>
      </c>
      <c r="D17" s="139" t="s">
        <v>889</v>
      </c>
      <c r="E17" s="190">
        <v>4.7</v>
      </c>
      <c r="F17" s="139" t="s">
        <v>4</v>
      </c>
      <c r="G17" s="6" t="s">
        <v>5</v>
      </c>
      <c r="H17" s="180" t="s">
        <v>738</v>
      </c>
      <c r="I17" s="5"/>
      <c r="J17" s="6" t="s">
        <v>194</v>
      </c>
      <c r="K17" s="21" t="s">
        <v>1993</v>
      </c>
      <c r="L17" s="95" t="s">
        <v>10</v>
      </c>
      <c r="M17" s="12" t="s">
        <v>7</v>
      </c>
      <c r="N17" s="150">
        <v>3500</v>
      </c>
      <c r="O17" s="6">
        <v>2125</v>
      </c>
      <c r="P17" s="35">
        <f t="shared" si="0"/>
        <v>7.4375</v>
      </c>
      <c r="Q17" s="13"/>
      <c r="R17" s="12"/>
      <c r="S17" s="13">
        <v>11.1</v>
      </c>
      <c r="T17" s="12">
        <v>2.9</v>
      </c>
      <c r="U17" s="16">
        <f>S17*T17-P17-Q17-X17-Y17</f>
        <v>24.752499999999998</v>
      </c>
      <c r="V17" s="12"/>
      <c r="W17" s="12"/>
      <c r="X17" s="13"/>
      <c r="Y17" s="13"/>
    </row>
    <row r="18" spans="1:25" ht="30" x14ac:dyDescent="0.25">
      <c r="A18" s="177" t="s">
        <v>139</v>
      </c>
      <c r="B18" s="177" t="s">
        <v>228</v>
      </c>
      <c r="C18" s="177" t="s">
        <v>890</v>
      </c>
      <c r="D18" s="177" t="s">
        <v>80</v>
      </c>
      <c r="E18" s="194">
        <v>6.2</v>
      </c>
      <c r="F18" s="177" t="s">
        <v>4</v>
      </c>
      <c r="G18" s="22" t="s">
        <v>5</v>
      </c>
      <c r="H18" s="180" t="s">
        <v>738</v>
      </c>
      <c r="I18" s="21"/>
      <c r="J18" s="22" t="s">
        <v>194</v>
      </c>
      <c r="K18" s="21" t="s">
        <v>1993</v>
      </c>
      <c r="L18" s="90" t="s">
        <v>6</v>
      </c>
      <c r="M18" s="219" t="s">
        <v>7</v>
      </c>
      <c r="N18" s="154">
        <v>900</v>
      </c>
      <c r="O18" s="22">
        <v>2125</v>
      </c>
      <c r="P18" s="49">
        <f t="shared" si="0"/>
        <v>1.9124999999999999</v>
      </c>
      <c r="Q18" s="25"/>
      <c r="R18" s="24"/>
      <c r="S18" s="25">
        <v>10.199999999999999</v>
      </c>
      <c r="T18" s="24">
        <v>2.6</v>
      </c>
      <c r="U18" s="11">
        <f>S18*T18-P18-Q18-X18-Y18</f>
        <v>24.607499999999998</v>
      </c>
      <c r="V18" s="24"/>
      <c r="W18" s="24"/>
      <c r="X18" s="25"/>
      <c r="Y18" s="25"/>
    </row>
    <row r="19" spans="1:25" ht="30" x14ac:dyDescent="0.25">
      <c r="A19" s="139" t="s">
        <v>139</v>
      </c>
      <c r="B19" s="139" t="s">
        <v>228</v>
      </c>
      <c r="C19" s="139" t="s">
        <v>891</v>
      </c>
      <c r="D19" s="139" t="s">
        <v>80</v>
      </c>
      <c r="E19" s="190">
        <v>3.4</v>
      </c>
      <c r="F19" s="139" t="s">
        <v>4</v>
      </c>
      <c r="G19" s="6" t="s">
        <v>5</v>
      </c>
      <c r="H19" s="180" t="s">
        <v>738</v>
      </c>
      <c r="I19" s="5"/>
      <c r="J19" s="6" t="s">
        <v>194</v>
      </c>
      <c r="K19" s="21" t="s">
        <v>1993</v>
      </c>
      <c r="L19" s="95" t="s">
        <v>6</v>
      </c>
      <c r="M19" s="179" t="s">
        <v>7</v>
      </c>
      <c r="N19" s="150">
        <v>900</v>
      </c>
      <c r="O19" s="22">
        <v>2125</v>
      </c>
      <c r="P19" s="49">
        <f t="shared" si="0"/>
        <v>1.9124999999999999</v>
      </c>
      <c r="Q19" s="13"/>
      <c r="R19" s="12"/>
      <c r="S19" s="13">
        <v>7.5</v>
      </c>
      <c r="T19" s="12">
        <v>2.6</v>
      </c>
      <c r="U19" s="11">
        <f>S19*T19-P19-Q19-X19-Y19</f>
        <v>17.587499999999999</v>
      </c>
      <c r="V19" s="12"/>
      <c r="W19" s="12"/>
      <c r="X19" s="25"/>
      <c r="Y19" s="13"/>
    </row>
    <row r="20" spans="1:25" s="186" customFormat="1" ht="30" x14ac:dyDescent="0.25">
      <c r="A20" s="139" t="s">
        <v>139</v>
      </c>
      <c r="B20" s="139" t="s">
        <v>228</v>
      </c>
      <c r="C20" s="139" t="s">
        <v>892</v>
      </c>
      <c r="D20" s="139" t="s">
        <v>893</v>
      </c>
      <c r="E20" s="190">
        <v>15.6</v>
      </c>
      <c r="F20" s="139" t="s">
        <v>4</v>
      </c>
      <c r="G20" s="6" t="s">
        <v>5</v>
      </c>
      <c r="H20" s="180" t="s">
        <v>738</v>
      </c>
      <c r="I20" s="5"/>
      <c r="J20" s="6" t="s">
        <v>194</v>
      </c>
      <c r="K20" s="21" t="s">
        <v>1993</v>
      </c>
      <c r="L20" s="95" t="s">
        <v>388</v>
      </c>
      <c r="M20" s="179" t="s">
        <v>388</v>
      </c>
      <c r="N20" s="150">
        <v>1000</v>
      </c>
      <c r="O20" s="22">
        <v>2200</v>
      </c>
      <c r="P20" s="49">
        <f t="shared" si="0"/>
        <v>2.1999999999999997</v>
      </c>
      <c r="Q20" s="13"/>
      <c r="R20" s="12"/>
      <c r="S20" s="13">
        <v>19.95</v>
      </c>
      <c r="T20" s="12">
        <v>2.6</v>
      </c>
      <c r="U20" s="25"/>
      <c r="V20" s="12"/>
      <c r="W20" s="12"/>
      <c r="X20" s="328">
        <f>S20*T20-P20-Q20-Y20</f>
        <v>49.669999999999995</v>
      </c>
      <c r="Y20" s="13"/>
    </row>
    <row r="21" spans="1:25" s="186" customFormat="1" ht="30" x14ac:dyDescent="0.25">
      <c r="A21" s="139" t="s">
        <v>139</v>
      </c>
      <c r="B21" s="139" t="s">
        <v>228</v>
      </c>
      <c r="C21" s="139" t="s">
        <v>894</v>
      </c>
      <c r="D21" s="139" t="s">
        <v>895</v>
      </c>
      <c r="E21" s="190">
        <v>7.1</v>
      </c>
      <c r="F21" s="139" t="s">
        <v>4</v>
      </c>
      <c r="G21" s="6" t="s">
        <v>5</v>
      </c>
      <c r="H21" s="180" t="s">
        <v>738</v>
      </c>
      <c r="I21" s="5"/>
      <c r="J21" s="6" t="s">
        <v>194</v>
      </c>
      <c r="K21" s="21" t="s">
        <v>1993</v>
      </c>
      <c r="L21" s="95" t="s">
        <v>388</v>
      </c>
      <c r="M21" s="12"/>
      <c r="N21" s="150"/>
      <c r="O21" s="22"/>
      <c r="P21" s="49">
        <f t="shared" si="0"/>
        <v>0</v>
      </c>
      <c r="Q21" s="13"/>
      <c r="R21" s="12"/>
      <c r="S21" s="13"/>
      <c r="T21" s="12"/>
      <c r="U21" s="25"/>
      <c r="V21" s="12"/>
      <c r="W21" s="12"/>
      <c r="X21" s="13"/>
      <c r="Y21" s="13"/>
    </row>
    <row r="22" spans="1:25" ht="30" x14ac:dyDescent="0.25">
      <c r="A22" s="144" t="s">
        <v>139</v>
      </c>
      <c r="B22" s="144" t="s">
        <v>228</v>
      </c>
      <c r="C22" s="144" t="s">
        <v>896</v>
      </c>
      <c r="D22" s="144" t="s">
        <v>897</v>
      </c>
      <c r="E22" s="195">
        <v>24.12</v>
      </c>
      <c r="F22" s="144" t="s">
        <v>4</v>
      </c>
      <c r="G22" s="6" t="s">
        <v>5</v>
      </c>
      <c r="H22" s="180" t="s">
        <v>738</v>
      </c>
      <c r="I22" s="5"/>
      <c r="J22" s="6" t="s">
        <v>194</v>
      </c>
      <c r="K22" s="21" t="s">
        <v>1993</v>
      </c>
      <c r="L22" s="95" t="s">
        <v>10</v>
      </c>
      <c r="M22" s="12" t="s">
        <v>7</v>
      </c>
      <c r="N22" s="150">
        <v>875</v>
      </c>
      <c r="O22" s="22">
        <v>2125</v>
      </c>
      <c r="P22" s="49">
        <f t="shared" si="0"/>
        <v>1.859375</v>
      </c>
      <c r="Q22" s="13"/>
      <c r="R22" s="12"/>
      <c r="S22" s="13">
        <v>16.2</v>
      </c>
      <c r="T22" s="12">
        <v>2.9</v>
      </c>
      <c r="U22" s="16">
        <f>S22*T22-P22-Q22-X22-Y22</f>
        <v>45.120624999999997</v>
      </c>
      <c r="V22" s="12"/>
      <c r="W22" s="12"/>
      <c r="X22" s="13"/>
      <c r="Y22" s="13"/>
    </row>
    <row r="23" spans="1:25" ht="30" x14ac:dyDescent="0.25">
      <c r="A23" s="139" t="s">
        <v>139</v>
      </c>
      <c r="B23" s="139" t="s">
        <v>228</v>
      </c>
      <c r="C23" s="139" t="s">
        <v>898</v>
      </c>
      <c r="D23" s="139" t="s">
        <v>80</v>
      </c>
      <c r="E23" s="190">
        <v>6</v>
      </c>
      <c r="F23" s="139" t="s">
        <v>4</v>
      </c>
      <c r="G23" s="6" t="s">
        <v>5</v>
      </c>
      <c r="H23" s="180" t="s">
        <v>738</v>
      </c>
      <c r="I23" s="5"/>
      <c r="J23" s="6" t="s">
        <v>194</v>
      </c>
      <c r="K23" s="21" t="s">
        <v>1993</v>
      </c>
      <c r="L23" s="84" t="s">
        <v>6</v>
      </c>
      <c r="M23" s="12" t="s">
        <v>7</v>
      </c>
      <c r="N23" s="150">
        <v>900</v>
      </c>
      <c r="O23" s="22">
        <v>2125</v>
      </c>
      <c r="P23" s="49">
        <f t="shared" si="0"/>
        <v>1.9124999999999999</v>
      </c>
      <c r="Q23" s="13"/>
      <c r="R23" s="12"/>
      <c r="S23" s="13">
        <v>9.85</v>
      </c>
      <c r="T23" s="12">
        <v>2.6</v>
      </c>
      <c r="U23" s="16">
        <f>S23*T23-P23-Q23-X23-Y23</f>
        <v>23.697499999999998</v>
      </c>
      <c r="V23" s="12"/>
      <c r="W23" s="12"/>
      <c r="X23" s="13"/>
      <c r="Y23" s="13"/>
    </row>
    <row r="24" spans="1:25" ht="30" x14ac:dyDescent="0.25">
      <c r="A24" s="139" t="s">
        <v>139</v>
      </c>
      <c r="B24" s="139" t="s">
        <v>228</v>
      </c>
      <c r="C24" s="139" t="s">
        <v>899</v>
      </c>
      <c r="D24" s="139" t="s">
        <v>701</v>
      </c>
      <c r="E24" s="190">
        <v>7.2</v>
      </c>
      <c r="F24" s="139" t="s">
        <v>4</v>
      </c>
      <c r="G24" s="6" t="s">
        <v>5</v>
      </c>
      <c r="H24" s="180" t="s">
        <v>738</v>
      </c>
      <c r="I24" s="5"/>
      <c r="J24" s="6" t="s">
        <v>194</v>
      </c>
      <c r="K24" s="21" t="s">
        <v>1993</v>
      </c>
      <c r="L24" s="84" t="s">
        <v>6</v>
      </c>
      <c r="M24" s="12" t="s">
        <v>7</v>
      </c>
      <c r="N24" s="150">
        <v>875</v>
      </c>
      <c r="O24" s="22">
        <v>2125</v>
      </c>
      <c r="P24" s="49">
        <f t="shared" si="0"/>
        <v>1.859375</v>
      </c>
      <c r="Q24" s="13"/>
      <c r="R24" s="12"/>
      <c r="S24" s="13">
        <v>12.55</v>
      </c>
      <c r="T24" s="12">
        <v>2.6</v>
      </c>
      <c r="U24" s="16">
        <f>S24*T24-P24-Q24-X24-Y24</f>
        <v>29.190625000000004</v>
      </c>
      <c r="V24" s="12"/>
      <c r="W24" s="12"/>
      <c r="X24" s="13"/>
      <c r="Y24" s="13">
        <v>1.58</v>
      </c>
    </row>
    <row r="25" spans="1:25" ht="30" x14ac:dyDescent="0.25">
      <c r="A25" s="139" t="s">
        <v>139</v>
      </c>
      <c r="B25" s="139" t="s">
        <v>228</v>
      </c>
      <c r="C25" s="139" t="s">
        <v>900</v>
      </c>
      <c r="D25" s="139" t="s">
        <v>80</v>
      </c>
      <c r="E25" s="190">
        <v>5.2</v>
      </c>
      <c r="F25" s="139" t="s">
        <v>4</v>
      </c>
      <c r="G25" s="6" t="s">
        <v>5</v>
      </c>
      <c r="H25" s="180" t="s">
        <v>738</v>
      </c>
      <c r="I25" s="5"/>
      <c r="J25" s="6" t="s">
        <v>194</v>
      </c>
      <c r="K25" s="21" t="s">
        <v>1993</v>
      </c>
      <c r="L25" s="84" t="s">
        <v>6</v>
      </c>
      <c r="M25" s="12" t="s">
        <v>7</v>
      </c>
      <c r="N25" s="150">
        <v>875</v>
      </c>
      <c r="O25" s="22">
        <v>2125</v>
      </c>
      <c r="P25" s="49">
        <f t="shared" si="0"/>
        <v>1.859375</v>
      </c>
      <c r="Q25" s="13"/>
      <c r="R25" s="12"/>
      <c r="S25" s="13">
        <v>10.55</v>
      </c>
      <c r="T25" s="12">
        <v>2.6</v>
      </c>
      <c r="U25" s="16">
        <f>S25*T25-P25-Q25-X25-Y25</f>
        <v>25.570625000000003</v>
      </c>
      <c r="V25" s="12"/>
      <c r="W25" s="12"/>
      <c r="X25" s="13"/>
      <c r="Y25" s="13"/>
    </row>
    <row r="26" spans="1:25" ht="30" x14ac:dyDescent="0.25">
      <c r="A26" s="139" t="s">
        <v>139</v>
      </c>
      <c r="B26" s="139" t="s">
        <v>228</v>
      </c>
      <c r="C26" s="139" t="s">
        <v>901</v>
      </c>
      <c r="D26" s="139" t="s">
        <v>902</v>
      </c>
      <c r="E26" s="190">
        <v>18.2</v>
      </c>
      <c r="F26" s="139" t="s">
        <v>4</v>
      </c>
      <c r="G26" s="6" t="s">
        <v>5</v>
      </c>
      <c r="H26" s="180" t="s">
        <v>738</v>
      </c>
      <c r="I26" s="5"/>
      <c r="J26" s="6" t="s">
        <v>194</v>
      </c>
      <c r="K26" s="21" t="s">
        <v>1993</v>
      </c>
      <c r="L26" s="95" t="s">
        <v>6</v>
      </c>
      <c r="M26" s="12" t="s">
        <v>7</v>
      </c>
      <c r="N26" s="150">
        <v>2000</v>
      </c>
      <c r="O26" s="22">
        <v>2125</v>
      </c>
      <c r="P26" s="49">
        <f t="shared" si="0"/>
        <v>4.25</v>
      </c>
      <c r="Q26" s="13"/>
      <c r="R26" s="12"/>
      <c r="S26" s="13">
        <v>18.2</v>
      </c>
      <c r="T26" s="12">
        <v>2.9</v>
      </c>
      <c r="U26" s="25"/>
      <c r="V26" s="12"/>
      <c r="W26" s="12"/>
      <c r="X26" s="47">
        <f>S26*T26-P26-Q26-Y26</f>
        <v>48.529999999999994</v>
      </c>
      <c r="Y26" s="13"/>
    </row>
    <row r="27" spans="1:25" ht="30" x14ac:dyDescent="0.25">
      <c r="A27" s="139" t="s">
        <v>139</v>
      </c>
      <c r="B27" s="139" t="s">
        <v>228</v>
      </c>
      <c r="C27" s="139" t="s">
        <v>903</v>
      </c>
      <c r="D27" s="139" t="s">
        <v>904</v>
      </c>
      <c r="E27" s="190">
        <v>15.6</v>
      </c>
      <c r="F27" s="139" t="s">
        <v>4</v>
      </c>
      <c r="G27" s="6" t="s">
        <v>5</v>
      </c>
      <c r="H27" s="180" t="s">
        <v>738</v>
      </c>
      <c r="I27" s="5"/>
      <c r="J27" s="6" t="s">
        <v>194</v>
      </c>
      <c r="K27" s="21" t="s">
        <v>1993</v>
      </c>
      <c r="L27" s="84" t="s">
        <v>6</v>
      </c>
      <c r="M27" s="12" t="s">
        <v>7</v>
      </c>
      <c r="N27" s="150">
        <v>1750</v>
      </c>
      <c r="O27" s="22">
        <v>2125</v>
      </c>
      <c r="P27" s="49">
        <f t="shared" si="0"/>
        <v>3.71875</v>
      </c>
      <c r="Q27" s="13"/>
      <c r="R27" s="12"/>
      <c r="S27" s="13">
        <v>16.850000000000001</v>
      </c>
      <c r="T27" s="12">
        <v>2.9</v>
      </c>
      <c r="U27" s="25"/>
      <c r="V27" s="12"/>
      <c r="W27" s="12"/>
      <c r="X27" s="47">
        <f>S27*T27-P27-Q27-Y27</f>
        <v>45.146250000000002</v>
      </c>
      <c r="Y27" s="13"/>
    </row>
    <row r="28" spans="1:25" ht="30" x14ac:dyDescent="0.25">
      <c r="A28" s="139" t="s">
        <v>139</v>
      </c>
      <c r="B28" s="139" t="s">
        <v>228</v>
      </c>
      <c r="C28" s="139" t="s">
        <v>905</v>
      </c>
      <c r="D28" s="139" t="s">
        <v>906</v>
      </c>
      <c r="E28" s="190">
        <v>15.8</v>
      </c>
      <c r="F28" s="139" t="s">
        <v>4</v>
      </c>
      <c r="G28" s="6" t="s">
        <v>5</v>
      </c>
      <c r="H28" s="180" t="s">
        <v>738</v>
      </c>
      <c r="I28" s="5"/>
      <c r="J28" s="6" t="s">
        <v>194</v>
      </c>
      <c r="K28" s="21" t="s">
        <v>1993</v>
      </c>
      <c r="L28" s="95" t="s">
        <v>6</v>
      </c>
      <c r="M28" s="12" t="s">
        <v>7</v>
      </c>
      <c r="N28" s="150">
        <v>875</v>
      </c>
      <c r="O28" s="22">
        <v>2125</v>
      </c>
      <c r="P28" s="49">
        <f t="shared" si="0"/>
        <v>1.859375</v>
      </c>
      <c r="Q28" s="13"/>
      <c r="R28" s="12"/>
      <c r="S28" s="13">
        <v>17.350000000000001</v>
      </c>
      <c r="T28" s="12">
        <v>2.9</v>
      </c>
      <c r="U28" s="25"/>
      <c r="V28" s="12"/>
      <c r="W28" s="12"/>
      <c r="X28" s="47">
        <f>S28*T28-P28-Q28-Y28</f>
        <v>48.455625000000005</v>
      </c>
      <c r="Y28" s="13"/>
    </row>
    <row r="29" spans="1:25" ht="30" x14ac:dyDescent="0.25">
      <c r="A29" s="139" t="s">
        <v>139</v>
      </c>
      <c r="B29" s="139" t="s">
        <v>228</v>
      </c>
      <c r="C29" s="139" t="s">
        <v>907</v>
      </c>
      <c r="D29" s="139" t="s">
        <v>893</v>
      </c>
      <c r="E29" s="190">
        <v>9.6999999999999993</v>
      </c>
      <c r="F29" s="139" t="s">
        <v>4</v>
      </c>
      <c r="G29" s="6" t="s">
        <v>5</v>
      </c>
      <c r="H29" s="180" t="s">
        <v>738</v>
      </c>
      <c r="I29" s="5"/>
      <c r="J29" s="6" t="s">
        <v>194</v>
      </c>
      <c r="K29" s="21" t="s">
        <v>1993</v>
      </c>
      <c r="L29" s="95" t="s">
        <v>388</v>
      </c>
      <c r="M29" s="179" t="s">
        <v>388</v>
      </c>
      <c r="N29" s="150">
        <v>1000</v>
      </c>
      <c r="O29" s="22">
        <v>2000</v>
      </c>
      <c r="P29" s="49">
        <f t="shared" si="0"/>
        <v>2</v>
      </c>
      <c r="Q29" s="13"/>
      <c r="R29" s="12"/>
      <c r="S29" s="13">
        <v>13.25</v>
      </c>
      <c r="T29" s="12">
        <v>2.6</v>
      </c>
      <c r="U29" s="13"/>
      <c r="V29" s="12"/>
      <c r="W29" s="12"/>
      <c r="X29" s="329">
        <f>S29*T29-P29-Q29-Y29</f>
        <v>32.450000000000003</v>
      </c>
      <c r="Y29" s="13"/>
    </row>
    <row r="30" spans="1:25" ht="30" x14ac:dyDescent="0.25">
      <c r="A30" s="139" t="s">
        <v>139</v>
      </c>
      <c r="B30" s="139" t="s">
        <v>228</v>
      </c>
      <c r="C30" s="139" t="s">
        <v>908</v>
      </c>
      <c r="D30" s="139" t="s">
        <v>80</v>
      </c>
      <c r="E30" s="190">
        <v>5.7</v>
      </c>
      <c r="F30" s="139" t="s">
        <v>4</v>
      </c>
      <c r="G30" s="6" t="s">
        <v>5</v>
      </c>
      <c r="H30" s="180" t="s">
        <v>738</v>
      </c>
      <c r="I30" s="5"/>
      <c r="J30" s="6" t="s">
        <v>194</v>
      </c>
      <c r="K30" s="21" t="s">
        <v>1993</v>
      </c>
      <c r="L30" s="84" t="s">
        <v>10</v>
      </c>
      <c r="M30" s="179" t="s">
        <v>7</v>
      </c>
      <c r="N30" s="150">
        <v>900</v>
      </c>
      <c r="O30" s="22">
        <v>2125</v>
      </c>
      <c r="P30" s="49">
        <f t="shared" si="0"/>
        <v>1.9124999999999999</v>
      </c>
      <c r="Q30" s="13"/>
      <c r="R30" s="12"/>
      <c r="S30" s="13">
        <v>8.9</v>
      </c>
      <c r="T30" s="12">
        <v>2.6</v>
      </c>
      <c r="U30" s="11">
        <f>S30*T30-P30-Q30-X30-Y30</f>
        <v>21.227499999999999</v>
      </c>
      <c r="V30" s="12"/>
      <c r="W30" s="12"/>
      <c r="X30" s="13"/>
      <c r="Y30" s="13"/>
    </row>
    <row r="31" spans="1:25" ht="30" x14ac:dyDescent="0.25">
      <c r="A31" s="139" t="s">
        <v>139</v>
      </c>
      <c r="B31" s="139" t="s">
        <v>228</v>
      </c>
      <c r="C31" s="139" t="s">
        <v>909</v>
      </c>
      <c r="D31" s="139" t="s">
        <v>910</v>
      </c>
      <c r="E31" s="190">
        <v>12.5</v>
      </c>
      <c r="F31" s="139" t="s">
        <v>4</v>
      </c>
      <c r="G31" s="6" t="s">
        <v>5</v>
      </c>
      <c r="H31" s="180" t="s">
        <v>738</v>
      </c>
      <c r="I31" s="5"/>
      <c r="J31" s="6" t="s">
        <v>194</v>
      </c>
      <c r="K31" s="21" t="s">
        <v>1993</v>
      </c>
      <c r="L31" s="84" t="s">
        <v>10</v>
      </c>
      <c r="M31" s="12" t="s">
        <v>7</v>
      </c>
      <c r="N31" s="150">
        <v>1750</v>
      </c>
      <c r="O31" s="22">
        <v>2125</v>
      </c>
      <c r="P31" s="49">
        <f t="shared" si="0"/>
        <v>3.71875</v>
      </c>
      <c r="Q31" s="13"/>
      <c r="R31" s="12"/>
      <c r="S31" s="13">
        <v>14.4</v>
      </c>
      <c r="T31" s="12">
        <v>2.9</v>
      </c>
      <c r="U31" s="16">
        <f>S31*T31-P31-Q31-X31-Y31</f>
        <v>36.46125</v>
      </c>
      <c r="V31" s="12"/>
      <c r="W31" s="12"/>
      <c r="X31" s="13"/>
      <c r="Y31" s="13">
        <v>1.58</v>
      </c>
    </row>
    <row r="32" spans="1:25" ht="30" x14ac:dyDescent="0.25">
      <c r="A32" s="144" t="s">
        <v>139</v>
      </c>
      <c r="B32" s="144" t="s">
        <v>228</v>
      </c>
      <c r="C32" s="144" t="s">
        <v>911</v>
      </c>
      <c r="D32" s="144" t="s">
        <v>80</v>
      </c>
      <c r="E32" s="195">
        <v>6.2</v>
      </c>
      <c r="F32" s="144" t="s">
        <v>4</v>
      </c>
      <c r="G32" s="6" t="s">
        <v>5</v>
      </c>
      <c r="H32" s="180" t="s">
        <v>738</v>
      </c>
      <c r="I32" s="5"/>
      <c r="J32" s="6" t="s">
        <v>194</v>
      </c>
      <c r="K32" s="21" t="s">
        <v>1993</v>
      </c>
      <c r="L32" s="95" t="s">
        <v>10</v>
      </c>
      <c r="M32" s="12" t="s">
        <v>7</v>
      </c>
      <c r="N32" s="150">
        <v>875</v>
      </c>
      <c r="O32" s="22">
        <v>2125</v>
      </c>
      <c r="P32" s="49">
        <f t="shared" si="0"/>
        <v>1.859375</v>
      </c>
      <c r="Q32" s="13"/>
      <c r="R32" s="12"/>
      <c r="S32" s="13">
        <v>10.55</v>
      </c>
      <c r="T32" s="12">
        <v>2.9</v>
      </c>
      <c r="U32" s="16">
        <f>S32*T32-P32-Q32-X32-Y32</f>
        <v>28.735625000000002</v>
      </c>
      <c r="V32" s="12"/>
      <c r="W32" s="12"/>
      <c r="X32" s="13"/>
      <c r="Y32" s="13"/>
    </row>
    <row r="33" spans="1:25" ht="30" x14ac:dyDescent="0.25">
      <c r="A33" s="139" t="s">
        <v>139</v>
      </c>
      <c r="B33" s="139" t="s">
        <v>228</v>
      </c>
      <c r="C33" s="139" t="s">
        <v>912</v>
      </c>
      <c r="D33" s="139" t="s">
        <v>913</v>
      </c>
      <c r="E33" s="190">
        <v>11</v>
      </c>
      <c r="F33" s="139" t="s">
        <v>4</v>
      </c>
      <c r="G33" s="6" t="s">
        <v>5</v>
      </c>
      <c r="H33" s="180" t="s">
        <v>738</v>
      </c>
      <c r="I33" s="5"/>
      <c r="J33" s="6" t="s">
        <v>194</v>
      </c>
      <c r="K33" s="21" t="s">
        <v>1993</v>
      </c>
      <c r="L33" s="84" t="s">
        <v>6</v>
      </c>
      <c r="M33" s="12" t="s">
        <v>7</v>
      </c>
      <c r="N33" s="150">
        <v>875</v>
      </c>
      <c r="O33" s="22">
        <v>2125</v>
      </c>
      <c r="P33" s="49">
        <f t="shared" si="0"/>
        <v>1.859375</v>
      </c>
      <c r="Q33" s="13"/>
      <c r="R33" s="12"/>
      <c r="S33" s="13">
        <v>14</v>
      </c>
      <c r="T33" s="12">
        <v>2.9</v>
      </c>
      <c r="U33" s="16">
        <f>S33*T33-P33-Q33-X33-Y33</f>
        <v>37.160625000000003</v>
      </c>
      <c r="V33" s="12"/>
      <c r="W33" s="12"/>
      <c r="X33" s="13"/>
      <c r="Y33" s="13">
        <v>1.58</v>
      </c>
    </row>
    <row r="34" spans="1:25" ht="30" x14ac:dyDescent="0.25">
      <c r="A34" s="139" t="s">
        <v>139</v>
      </c>
      <c r="B34" s="139" t="s">
        <v>228</v>
      </c>
      <c r="C34" s="139" t="s">
        <v>914</v>
      </c>
      <c r="D34" s="139" t="s">
        <v>915</v>
      </c>
      <c r="E34" s="190">
        <v>3</v>
      </c>
      <c r="F34" s="139" t="s">
        <v>4</v>
      </c>
      <c r="G34" s="6" t="s">
        <v>5</v>
      </c>
      <c r="H34" s="180" t="s">
        <v>738</v>
      </c>
      <c r="I34" s="5"/>
      <c r="J34" s="6" t="s">
        <v>194</v>
      </c>
      <c r="K34" s="21" t="s">
        <v>1993</v>
      </c>
      <c r="L34" s="95" t="s">
        <v>6</v>
      </c>
      <c r="M34" s="12" t="s">
        <v>7</v>
      </c>
      <c r="N34" s="150">
        <v>875</v>
      </c>
      <c r="O34" s="22">
        <v>2125</v>
      </c>
      <c r="P34" s="49">
        <f t="shared" si="0"/>
        <v>1.859375</v>
      </c>
      <c r="Q34" s="13"/>
      <c r="R34" s="12"/>
      <c r="S34" s="13">
        <v>7.3</v>
      </c>
      <c r="T34" s="12">
        <v>2.6</v>
      </c>
      <c r="U34" s="13"/>
      <c r="V34" s="12"/>
      <c r="W34" s="12"/>
      <c r="X34" s="47">
        <f>S34*T34-P34-Q34-Y34</f>
        <v>17.120625</v>
      </c>
      <c r="Y34" s="13"/>
    </row>
    <row r="35" spans="1:25" ht="30" x14ac:dyDescent="0.25">
      <c r="A35" s="139" t="s">
        <v>139</v>
      </c>
      <c r="B35" s="139" t="s">
        <v>228</v>
      </c>
      <c r="C35" s="139" t="s">
        <v>916</v>
      </c>
      <c r="D35" s="139" t="s">
        <v>224</v>
      </c>
      <c r="E35" s="190">
        <v>1.8</v>
      </c>
      <c r="F35" s="139" t="s">
        <v>4</v>
      </c>
      <c r="G35" s="6" t="s">
        <v>5</v>
      </c>
      <c r="H35" s="180" t="s">
        <v>738</v>
      </c>
      <c r="I35" s="5"/>
      <c r="J35" s="6" t="s">
        <v>194</v>
      </c>
      <c r="K35" s="21" t="s">
        <v>1993</v>
      </c>
      <c r="L35" s="95" t="s">
        <v>6</v>
      </c>
      <c r="M35" s="12" t="s">
        <v>7</v>
      </c>
      <c r="N35" s="150">
        <v>875</v>
      </c>
      <c r="O35" s="22">
        <v>2125</v>
      </c>
      <c r="P35" s="49">
        <f t="shared" si="0"/>
        <v>1.859375</v>
      </c>
      <c r="Q35" s="13"/>
      <c r="R35" s="12"/>
      <c r="S35" s="13">
        <v>5.35</v>
      </c>
      <c r="T35" s="12">
        <v>2.6</v>
      </c>
      <c r="U35" s="13"/>
      <c r="V35" s="12"/>
      <c r="W35" s="12"/>
      <c r="X35" s="47">
        <f>S35*T35-P35-Q35-Y35</f>
        <v>12.050625</v>
      </c>
      <c r="Y35" s="13"/>
    </row>
    <row r="36" spans="1:25" ht="30" x14ac:dyDescent="0.25">
      <c r="A36" s="139" t="s">
        <v>139</v>
      </c>
      <c r="B36" s="139" t="s">
        <v>228</v>
      </c>
      <c r="C36" s="139" t="s">
        <v>917</v>
      </c>
      <c r="D36" s="139" t="s">
        <v>55</v>
      </c>
      <c r="E36" s="190">
        <v>3.3</v>
      </c>
      <c r="F36" s="139" t="s">
        <v>4</v>
      </c>
      <c r="G36" s="6" t="s">
        <v>5</v>
      </c>
      <c r="H36" s="180" t="s">
        <v>738</v>
      </c>
      <c r="I36" s="5"/>
      <c r="J36" s="6" t="s">
        <v>194</v>
      </c>
      <c r="K36" s="21" t="s">
        <v>1993</v>
      </c>
      <c r="L36" s="95" t="s">
        <v>10</v>
      </c>
      <c r="M36" s="12" t="s">
        <v>7</v>
      </c>
      <c r="N36" s="150">
        <v>2500</v>
      </c>
      <c r="O36" s="22">
        <v>2125</v>
      </c>
      <c r="P36" s="49">
        <f t="shared" si="0"/>
        <v>5.3125</v>
      </c>
      <c r="Q36" s="13"/>
      <c r="R36" s="12"/>
      <c r="S36" s="13">
        <v>8.5500000000000007</v>
      </c>
      <c r="T36" s="12">
        <v>2.6</v>
      </c>
      <c r="U36" s="11">
        <f>S36*T36-P36-Q36-X36-Y36</f>
        <v>16.917500000000004</v>
      </c>
      <c r="V36" s="12"/>
      <c r="W36" s="12"/>
      <c r="X36" s="13"/>
      <c r="Y36" s="13"/>
    </row>
    <row r="37" spans="1:25" ht="30" x14ac:dyDescent="0.25">
      <c r="A37" s="139" t="s">
        <v>139</v>
      </c>
      <c r="B37" s="139" t="s">
        <v>228</v>
      </c>
      <c r="C37" s="139" t="s">
        <v>918</v>
      </c>
      <c r="D37" s="139" t="s">
        <v>55</v>
      </c>
      <c r="E37" s="190">
        <v>27.1</v>
      </c>
      <c r="F37" s="139" t="s">
        <v>4</v>
      </c>
      <c r="G37" s="6" t="s">
        <v>5</v>
      </c>
      <c r="H37" s="180" t="s">
        <v>738</v>
      </c>
      <c r="I37" s="5"/>
      <c r="J37" s="6" t="s">
        <v>194</v>
      </c>
      <c r="K37" s="21" t="s">
        <v>1993</v>
      </c>
      <c r="L37" s="95" t="s">
        <v>6</v>
      </c>
      <c r="M37" s="179" t="s">
        <v>7</v>
      </c>
      <c r="N37" s="150">
        <v>9725</v>
      </c>
      <c r="O37" s="22">
        <v>2125</v>
      </c>
      <c r="P37" s="49">
        <f t="shared" si="0"/>
        <v>20.665624999999999</v>
      </c>
      <c r="Q37" s="13"/>
      <c r="R37" s="12"/>
      <c r="S37" s="13"/>
      <c r="T37" s="12">
        <v>3</v>
      </c>
      <c r="U37" s="11"/>
      <c r="V37" s="12"/>
      <c r="W37" s="12"/>
      <c r="X37" s="13"/>
      <c r="Y37" s="13"/>
    </row>
    <row r="38" spans="1:25" ht="30" x14ac:dyDescent="0.25">
      <c r="A38" s="139" t="s">
        <v>139</v>
      </c>
      <c r="B38" s="139" t="s">
        <v>228</v>
      </c>
      <c r="C38" s="139" t="s">
        <v>919</v>
      </c>
      <c r="D38" s="139" t="s">
        <v>80</v>
      </c>
      <c r="E38" s="190">
        <v>7.7</v>
      </c>
      <c r="F38" s="139" t="s">
        <v>4</v>
      </c>
      <c r="G38" s="6" t="s">
        <v>5</v>
      </c>
      <c r="H38" s="180" t="s">
        <v>738</v>
      </c>
      <c r="I38" s="5"/>
      <c r="J38" s="6" t="s">
        <v>194</v>
      </c>
      <c r="K38" s="21" t="s">
        <v>1993</v>
      </c>
      <c r="L38" s="95" t="s">
        <v>6</v>
      </c>
      <c r="M38" s="12" t="s">
        <v>7</v>
      </c>
      <c r="N38" s="150">
        <v>1125</v>
      </c>
      <c r="O38" s="22">
        <v>2125</v>
      </c>
      <c r="P38" s="49">
        <f t="shared" si="0"/>
        <v>2.390625</v>
      </c>
      <c r="Q38" s="13"/>
      <c r="R38" s="12"/>
      <c r="S38" s="13">
        <v>11.1</v>
      </c>
      <c r="T38" s="12">
        <v>2.7</v>
      </c>
      <c r="U38" s="11">
        <f>S38*T38-P38-Q38-X38-Y38</f>
        <v>27.579375000000002</v>
      </c>
      <c r="V38" s="12"/>
      <c r="W38" s="12"/>
      <c r="X38" s="13"/>
      <c r="Y38" s="13"/>
    </row>
    <row r="39" spans="1:25" ht="30" x14ac:dyDescent="0.25">
      <c r="A39" s="139" t="s">
        <v>139</v>
      </c>
      <c r="B39" s="139" t="s">
        <v>228</v>
      </c>
      <c r="C39" s="139" t="s">
        <v>920</v>
      </c>
      <c r="D39" s="139" t="s">
        <v>921</v>
      </c>
      <c r="E39" s="190">
        <v>7.3</v>
      </c>
      <c r="F39" s="139" t="s">
        <v>4</v>
      </c>
      <c r="G39" s="6" t="s">
        <v>5</v>
      </c>
      <c r="H39" s="180" t="s">
        <v>738</v>
      </c>
      <c r="I39" s="5"/>
      <c r="J39" s="6" t="s">
        <v>194</v>
      </c>
      <c r="K39" s="21" t="s">
        <v>1993</v>
      </c>
      <c r="L39" s="84" t="s">
        <v>10</v>
      </c>
      <c r="M39" s="12" t="s">
        <v>7</v>
      </c>
      <c r="N39" s="150">
        <v>875</v>
      </c>
      <c r="O39" s="22">
        <v>2125</v>
      </c>
      <c r="P39" s="49">
        <f t="shared" si="0"/>
        <v>1.859375</v>
      </c>
      <c r="Q39" s="13"/>
      <c r="R39" s="12"/>
      <c r="S39" s="13">
        <v>12.05</v>
      </c>
      <c r="T39" s="12">
        <v>2.7</v>
      </c>
      <c r="U39" s="11">
        <f>S39*T39-P39-Q39-X39-Y39</f>
        <v>27.515625000000004</v>
      </c>
      <c r="V39" s="12"/>
      <c r="W39" s="12"/>
      <c r="X39" s="13"/>
      <c r="Y39" s="13">
        <v>3.16</v>
      </c>
    </row>
    <row r="40" spans="1:25" ht="30" x14ac:dyDescent="0.25">
      <c r="A40" s="139" t="s">
        <v>139</v>
      </c>
      <c r="B40" s="139" t="s">
        <v>228</v>
      </c>
      <c r="C40" s="139" t="s">
        <v>922</v>
      </c>
      <c r="D40" s="139" t="s">
        <v>923</v>
      </c>
      <c r="E40" s="190">
        <v>211.99</v>
      </c>
      <c r="F40" s="139" t="s">
        <v>4</v>
      </c>
      <c r="G40" s="6" t="s">
        <v>5</v>
      </c>
      <c r="H40" s="180" t="s">
        <v>738</v>
      </c>
      <c r="I40" s="5"/>
      <c r="J40" s="6" t="s">
        <v>194</v>
      </c>
      <c r="K40" s="21" t="s">
        <v>1993</v>
      </c>
      <c r="L40" s="84" t="s">
        <v>10</v>
      </c>
      <c r="M40" s="12" t="s">
        <v>7</v>
      </c>
      <c r="N40" s="150">
        <v>10500</v>
      </c>
      <c r="O40" s="22">
        <v>2125</v>
      </c>
      <c r="P40" s="49">
        <f t="shared" si="0"/>
        <v>22.3125</v>
      </c>
      <c r="Q40" s="13"/>
      <c r="R40" s="12"/>
      <c r="S40" s="13">
        <v>78.45</v>
      </c>
      <c r="T40" s="12">
        <v>2.7</v>
      </c>
      <c r="U40" s="11">
        <f>S40*T40-P40-Q40-X40-Y40</f>
        <v>169.28250000000003</v>
      </c>
      <c r="V40" s="12"/>
      <c r="W40" s="12"/>
      <c r="X40" s="13">
        <v>6</v>
      </c>
      <c r="Y40" s="13">
        <v>14.22</v>
      </c>
    </row>
    <row r="41" spans="1:25" ht="30" x14ac:dyDescent="0.25">
      <c r="A41" s="139" t="s">
        <v>139</v>
      </c>
      <c r="B41" s="139" t="s">
        <v>228</v>
      </c>
      <c r="C41" s="139" t="s">
        <v>924</v>
      </c>
      <c r="D41" s="139" t="s">
        <v>55</v>
      </c>
      <c r="E41" s="190">
        <v>4.9000000000000004</v>
      </c>
      <c r="F41" s="139" t="s">
        <v>4</v>
      </c>
      <c r="G41" s="6" t="s">
        <v>5</v>
      </c>
      <c r="H41" s="180" t="s">
        <v>738</v>
      </c>
      <c r="I41" s="5"/>
      <c r="J41" s="6" t="s">
        <v>194</v>
      </c>
      <c r="K41" s="21" t="s">
        <v>1993</v>
      </c>
      <c r="L41" s="84" t="s">
        <v>10</v>
      </c>
      <c r="M41" s="12"/>
      <c r="N41" s="150"/>
      <c r="O41" s="22"/>
      <c r="P41" s="49">
        <f t="shared" si="0"/>
        <v>0</v>
      </c>
      <c r="Q41" s="13"/>
      <c r="R41" s="12"/>
      <c r="S41" s="13"/>
      <c r="T41" s="12">
        <v>2.7</v>
      </c>
      <c r="U41" s="25"/>
      <c r="V41" s="12"/>
      <c r="W41" s="12"/>
      <c r="X41" s="13"/>
      <c r="Y41" s="13"/>
    </row>
    <row r="42" spans="1:25" ht="30" x14ac:dyDescent="0.25">
      <c r="A42" s="139" t="s">
        <v>139</v>
      </c>
      <c r="B42" s="139" t="s">
        <v>228</v>
      </c>
      <c r="C42" s="139" t="s">
        <v>925</v>
      </c>
      <c r="D42" s="139" t="s">
        <v>926</v>
      </c>
      <c r="E42" s="190">
        <v>34.4</v>
      </c>
      <c r="F42" s="139" t="s">
        <v>4</v>
      </c>
      <c r="G42" s="6" t="s">
        <v>5</v>
      </c>
      <c r="H42" s="180" t="s">
        <v>738</v>
      </c>
      <c r="I42" s="5"/>
      <c r="J42" s="6" t="s">
        <v>194</v>
      </c>
      <c r="K42" s="21" t="s">
        <v>1993</v>
      </c>
      <c r="L42" s="84" t="s">
        <v>10</v>
      </c>
      <c r="M42" s="12" t="s">
        <v>7</v>
      </c>
      <c r="N42" s="150">
        <v>875</v>
      </c>
      <c r="O42" s="22">
        <v>2125</v>
      </c>
      <c r="P42" s="49">
        <f t="shared" si="0"/>
        <v>1.859375</v>
      </c>
      <c r="Q42" s="13"/>
      <c r="R42" s="12"/>
      <c r="S42" s="13">
        <v>23.4</v>
      </c>
      <c r="T42" s="12">
        <v>2.7</v>
      </c>
      <c r="U42" s="11">
        <f>S42*T42-P42-Q42-X42-Y42</f>
        <v>59.740625000000001</v>
      </c>
      <c r="V42" s="12"/>
      <c r="W42" s="12"/>
      <c r="X42" s="13"/>
      <c r="Y42" s="13">
        <v>1.58</v>
      </c>
    </row>
    <row r="43" spans="1:25" ht="30" x14ac:dyDescent="0.25">
      <c r="A43" s="139" t="s">
        <v>139</v>
      </c>
      <c r="B43" s="139" t="s">
        <v>228</v>
      </c>
      <c r="C43" s="139" t="s">
        <v>927</v>
      </c>
      <c r="D43" s="139" t="s">
        <v>928</v>
      </c>
      <c r="E43" s="190">
        <v>17.100000000000001</v>
      </c>
      <c r="F43" s="139" t="s">
        <v>4</v>
      </c>
      <c r="G43" s="6" t="s">
        <v>5</v>
      </c>
      <c r="H43" s="180" t="s">
        <v>738</v>
      </c>
      <c r="I43" s="5"/>
      <c r="J43" s="223" t="s">
        <v>194</v>
      </c>
      <c r="K43" s="21" t="s">
        <v>1993</v>
      </c>
      <c r="L43" s="95" t="s">
        <v>10</v>
      </c>
      <c r="M43" s="12" t="s">
        <v>7</v>
      </c>
      <c r="N43" s="150">
        <v>875</v>
      </c>
      <c r="O43" s="22">
        <v>2125</v>
      </c>
      <c r="P43" s="49">
        <f t="shared" si="0"/>
        <v>1.859375</v>
      </c>
      <c r="Q43" s="13"/>
      <c r="R43" s="12"/>
      <c r="S43" s="13">
        <v>17.600000000000001</v>
      </c>
      <c r="T43" s="12">
        <v>2.7</v>
      </c>
      <c r="U43" s="16">
        <f>S43*T43-P43-Q43-X43-Y43</f>
        <v>44.080625000000012</v>
      </c>
      <c r="V43" s="12"/>
      <c r="W43" s="12"/>
      <c r="X43" s="13"/>
      <c r="Y43" s="13">
        <v>1.58</v>
      </c>
    </row>
    <row r="44" spans="1:25" ht="30" x14ac:dyDescent="0.25">
      <c r="A44" s="139" t="s">
        <v>139</v>
      </c>
      <c r="B44" s="139" t="s">
        <v>228</v>
      </c>
      <c r="C44" s="139" t="s">
        <v>929</v>
      </c>
      <c r="D44" s="139" t="s">
        <v>930</v>
      </c>
      <c r="E44" s="190">
        <v>17.899999999999999</v>
      </c>
      <c r="F44" s="139" t="s">
        <v>4</v>
      </c>
      <c r="G44" s="6" t="s">
        <v>5</v>
      </c>
      <c r="H44" s="180" t="s">
        <v>738</v>
      </c>
      <c r="I44" s="5"/>
      <c r="J44" s="6" t="s">
        <v>194</v>
      </c>
      <c r="K44" s="21" t="s">
        <v>1993</v>
      </c>
      <c r="L44" s="95" t="s">
        <v>10</v>
      </c>
      <c r="M44" s="12" t="s">
        <v>7</v>
      </c>
      <c r="N44" s="150">
        <v>875</v>
      </c>
      <c r="O44" s="22">
        <v>2125</v>
      </c>
      <c r="P44" s="49">
        <f t="shared" si="0"/>
        <v>1.859375</v>
      </c>
      <c r="Q44" s="13"/>
      <c r="R44" s="12"/>
      <c r="S44" s="13">
        <v>18.8</v>
      </c>
      <c r="T44" s="12">
        <v>2.7</v>
      </c>
      <c r="U44" s="16">
        <f>S44*T44-P44-Q44-X44-Y44</f>
        <v>47.320625000000007</v>
      </c>
      <c r="V44" s="12"/>
      <c r="W44" s="12"/>
      <c r="X44" s="13"/>
      <c r="Y44" s="13">
        <v>1.58</v>
      </c>
    </row>
    <row r="45" spans="1:25" ht="30" x14ac:dyDescent="0.25">
      <c r="A45" s="139" t="s">
        <v>139</v>
      </c>
      <c r="B45" s="139" t="s">
        <v>228</v>
      </c>
      <c r="C45" s="139" t="s">
        <v>931</v>
      </c>
      <c r="D45" s="139" t="s">
        <v>932</v>
      </c>
      <c r="E45" s="190">
        <v>17.100000000000001</v>
      </c>
      <c r="F45" s="139" t="s">
        <v>4</v>
      </c>
      <c r="G45" s="6" t="s">
        <v>5</v>
      </c>
      <c r="H45" s="180" t="s">
        <v>738</v>
      </c>
      <c r="I45" s="5"/>
      <c r="J45" s="6" t="s">
        <v>194</v>
      </c>
      <c r="K45" s="21" t="s">
        <v>1993</v>
      </c>
      <c r="L45" s="84" t="s">
        <v>6</v>
      </c>
      <c r="M45" s="12" t="s">
        <v>7</v>
      </c>
      <c r="N45" s="150">
        <v>1750</v>
      </c>
      <c r="O45" s="22">
        <v>2125</v>
      </c>
      <c r="P45" s="49">
        <f t="shared" si="0"/>
        <v>3.71875</v>
      </c>
      <c r="Q45" s="13"/>
      <c r="R45" s="12"/>
      <c r="S45" s="13">
        <v>17.600000000000001</v>
      </c>
      <c r="T45" s="12">
        <v>2.7</v>
      </c>
      <c r="U45" s="16">
        <f>S45*T45-P45-Q45-X45-Y45</f>
        <v>40.971250000000012</v>
      </c>
      <c r="V45" s="12"/>
      <c r="W45" s="12"/>
      <c r="X45" s="13"/>
      <c r="Y45" s="13">
        <v>2.83</v>
      </c>
    </row>
    <row r="46" spans="1:25" ht="30" x14ac:dyDescent="0.25">
      <c r="A46" s="139" t="s">
        <v>139</v>
      </c>
      <c r="B46" s="139" t="s">
        <v>228</v>
      </c>
      <c r="C46" s="139" t="s">
        <v>933</v>
      </c>
      <c r="D46" s="139" t="s">
        <v>934</v>
      </c>
      <c r="E46" s="190">
        <v>7.8</v>
      </c>
      <c r="F46" s="139" t="s">
        <v>4</v>
      </c>
      <c r="G46" s="6" t="s">
        <v>5</v>
      </c>
      <c r="H46" s="180" t="s">
        <v>738</v>
      </c>
      <c r="I46" s="5"/>
      <c r="J46" s="6" t="s">
        <v>194</v>
      </c>
      <c r="K46" s="21" t="s">
        <v>1993</v>
      </c>
      <c r="L46" s="84" t="s">
        <v>6</v>
      </c>
      <c r="M46" s="12" t="s">
        <v>7</v>
      </c>
      <c r="N46" s="150">
        <v>875</v>
      </c>
      <c r="O46" s="22">
        <v>2125</v>
      </c>
      <c r="P46" s="49">
        <f t="shared" si="0"/>
        <v>1.859375</v>
      </c>
      <c r="Q46" s="13"/>
      <c r="R46" s="12"/>
      <c r="S46" s="13">
        <v>11.15</v>
      </c>
      <c r="T46" s="12">
        <v>2.7</v>
      </c>
      <c r="U46" s="13"/>
      <c r="V46" s="12"/>
      <c r="W46" s="12"/>
      <c r="X46" s="47">
        <f>S46*T46-P46-Q46-Y46</f>
        <v>25.415625000000006</v>
      </c>
      <c r="Y46" s="13">
        <v>2.83</v>
      </c>
    </row>
    <row r="47" spans="1:25" ht="30" x14ac:dyDescent="0.25">
      <c r="A47" s="139" t="s">
        <v>139</v>
      </c>
      <c r="B47" s="139" t="s">
        <v>228</v>
      </c>
      <c r="C47" s="139" t="s">
        <v>935</v>
      </c>
      <c r="D47" s="139" t="s">
        <v>936</v>
      </c>
      <c r="E47" s="190">
        <v>5</v>
      </c>
      <c r="F47" s="139" t="s">
        <v>4</v>
      </c>
      <c r="G47" s="6" t="s">
        <v>5</v>
      </c>
      <c r="H47" s="180" t="s">
        <v>738</v>
      </c>
      <c r="I47" s="5"/>
      <c r="J47" s="6" t="s">
        <v>194</v>
      </c>
      <c r="K47" s="21" t="s">
        <v>1993</v>
      </c>
      <c r="L47" s="84" t="s">
        <v>6</v>
      </c>
      <c r="M47" s="12" t="s">
        <v>7</v>
      </c>
      <c r="N47" s="150">
        <v>2625</v>
      </c>
      <c r="O47" s="22">
        <v>2125</v>
      </c>
      <c r="P47" s="49">
        <f t="shared" si="0"/>
        <v>5.578125</v>
      </c>
      <c r="Q47" s="13"/>
      <c r="R47" s="12"/>
      <c r="S47" s="13">
        <v>9.25</v>
      </c>
      <c r="T47" s="12">
        <v>2.6</v>
      </c>
      <c r="U47" s="25"/>
      <c r="V47" s="12"/>
      <c r="W47" s="12"/>
      <c r="X47" s="47">
        <f>S47*T47-P47-Q47-Y47</f>
        <v>17.231875000000002</v>
      </c>
      <c r="Y47" s="13">
        <v>1.24</v>
      </c>
    </row>
    <row r="48" spans="1:25" ht="30" x14ac:dyDescent="0.25">
      <c r="A48" s="139" t="s">
        <v>139</v>
      </c>
      <c r="B48" s="139" t="s">
        <v>228</v>
      </c>
      <c r="C48" s="139" t="s">
        <v>937</v>
      </c>
      <c r="D48" s="139" t="s">
        <v>65</v>
      </c>
      <c r="E48" s="190">
        <v>1.3</v>
      </c>
      <c r="F48" s="139" t="s">
        <v>4</v>
      </c>
      <c r="G48" s="6" t="s">
        <v>5</v>
      </c>
      <c r="H48" s="180" t="s">
        <v>738</v>
      </c>
      <c r="I48" s="5"/>
      <c r="J48" s="6" t="s">
        <v>194</v>
      </c>
      <c r="K48" s="21" t="s">
        <v>1993</v>
      </c>
      <c r="L48" s="95" t="s">
        <v>6</v>
      </c>
      <c r="M48" s="12" t="s">
        <v>7</v>
      </c>
      <c r="N48" s="150">
        <v>875</v>
      </c>
      <c r="O48" s="22">
        <v>2125</v>
      </c>
      <c r="P48" s="49">
        <f t="shared" si="0"/>
        <v>1.859375</v>
      </c>
      <c r="Q48" s="13"/>
      <c r="R48" s="12"/>
      <c r="S48" s="13">
        <v>4.18</v>
      </c>
      <c r="T48" s="12">
        <v>2.6</v>
      </c>
      <c r="U48" s="25"/>
      <c r="V48" s="12"/>
      <c r="W48" s="12"/>
      <c r="X48" s="47">
        <f>S48*T48-P48-Q48-Y48</f>
        <v>9.0086250000000003</v>
      </c>
      <c r="Y48" s="13"/>
    </row>
    <row r="49" spans="1:25" ht="30" x14ac:dyDescent="0.25">
      <c r="A49" s="139" t="s">
        <v>139</v>
      </c>
      <c r="B49" s="139" t="s">
        <v>228</v>
      </c>
      <c r="C49" s="139" t="s">
        <v>938</v>
      </c>
      <c r="D49" s="139" t="s">
        <v>65</v>
      </c>
      <c r="E49" s="190">
        <v>1.3</v>
      </c>
      <c r="F49" s="139" t="s">
        <v>4</v>
      </c>
      <c r="G49" s="6" t="s">
        <v>5</v>
      </c>
      <c r="H49" s="180" t="s">
        <v>738</v>
      </c>
      <c r="I49" s="5"/>
      <c r="J49" s="6" t="s">
        <v>194</v>
      </c>
      <c r="K49" s="21" t="s">
        <v>1993</v>
      </c>
      <c r="L49" s="95" t="s">
        <v>6</v>
      </c>
      <c r="M49" s="12" t="s">
        <v>7</v>
      </c>
      <c r="N49" s="150">
        <v>875</v>
      </c>
      <c r="O49" s="22">
        <v>1180</v>
      </c>
      <c r="P49" s="49">
        <f t="shared" si="0"/>
        <v>1.0325</v>
      </c>
      <c r="Q49" s="13"/>
      <c r="R49" s="12"/>
      <c r="S49" s="13">
        <v>4.3</v>
      </c>
      <c r="T49" s="12">
        <v>2.6</v>
      </c>
      <c r="U49" s="25"/>
      <c r="V49" s="12"/>
      <c r="W49" s="12"/>
      <c r="X49" s="47">
        <f>S49*T49-P49-Q49-Y49</f>
        <v>10.147499999999999</v>
      </c>
      <c r="Y49" s="13"/>
    </row>
    <row r="50" spans="1:25" ht="30" x14ac:dyDescent="0.25">
      <c r="A50" s="139" t="s">
        <v>139</v>
      </c>
      <c r="B50" s="139" t="s">
        <v>228</v>
      </c>
      <c r="C50" s="139" t="s">
        <v>939</v>
      </c>
      <c r="D50" s="139" t="s">
        <v>940</v>
      </c>
      <c r="E50" s="190">
        <v>17.3</v>
      </c>
      <c r="F50" s="139" t="s">
        <v>4</v>
      </c>
      <c r="G50" s="6" t="s">
        <v>5</v>
      </c>
      <c r="H50" s="180" t="s">
        <v>738</v>
      </c>
      <c r="I50" s="5"/>
      <c r="J50" s="6" t="s">
        <v>194</v>
      </c>
      <c r="K50" s="21" t="s">
        <v>1993</v>
      </c>
      <c r="L50" s="84" t="s">
        <v>10</v>
      </c>
      <c r="M50" s="179" t="s">
        <v>7</v>
      </c>
      <c r="N50" s="150">
        <v>1500</v>
      </c>
      <c r="O50" s="22">
        <v>2125</v>
      </c>
      <c r="P50" s="49">
        <f t="shared" si="0"/>
        <v>3.1875</v>
      </c>
      <c r="Q50" s="13"/>
      <c r="R50" s="12"/>
      <c r="S50" s="13">
        <v>31.6</v>
      </c>
      <c r="T50" s="12">
        <v>3</v>
      </c>
      <c r="U50" s="11"/>
      <c r="V50" s="12"/>
      <c r="W50" s="12"/>
      <c r="X50" s="47">
        <f>S50*T50-P50-Q50-Y50</f>
        <v>90.372500000000016</v>
      </c>
      <c r="Y50" s="13">
        <v>1.24</v>
      </c>
    </row>
    <row r="51" spans="1:25" ht="30" x14ac:dyDescent="0.25">
      <c r="A51" s="139" t="s">
        <v>139</v>
      </c>
      <c r="B51" s="139" t="s">
        <v>228</v>
      </c>
      <c r="C51" s="139" t="s">
        <v>941</v>
      </c>
      <c r="D51" s="139" t="s">
        <v>942</v>
      </c>
      <c r="E51" s="190">
        <v>5.2</v>
      </c>
      <c r="F51" s="139" t="s">
        <v>4</v>
      </c>
      <c r="G51" s="6" t="s">
        <v>5</v>
      </c>
      <c r="H51" s="180" t="s">
        <v>738</v>
      </c>
      <c r="I51" s="5"/>
      <c r="J51" s="6" t="s">
        <v>194</v>
      </c>
      <c r="K51" s="21" t="s">
        <v>1993</v>
      </c>
      <c r="L51" s="84" t="s">
        <v>10</v>
      </c>
      <c r="M51" s="179" t="s">
        <v>7</v>
      </c>
      <c r="N51" s="150">
        <v>2900</v>
      </c>
      <c r="O51" s="22">
        <v>2000</v>
      </c>
      <c r="P51" s="49">
        <f t="shared" si="0"/>
        <v>5.8</v>
      </c>
      <c r="Q51" s="13"/>
      <c r="R51" s="12"/>
      <c r="S51" s="13"/>
      <c r="T51" s="12">
        <v>3</v>
      </c>
      <c r="U51" s="13"/>
      <c r="V51" s="12"/>
      <c r="W51" s="12"/>
      <c r="X51" s="13"/>
      <c r="Y51" s="13"/>
    </row>
    <row r="52" spans="1:25" ht="30" x14ac:dyDescent="0.25">
      <c r="A52" s="139" t="s">
        <v>139</v>
      </c>
      <c r="B52" s="139" t="s">
        <v>228</v>
      </c>
      <c r="C52" s="139" t="s">
        <v>943</v>
      </c>
      <c r="D52" s="139" t="s">
        <v>944</v>
      </c>
      <c r="E52" s="190">
        <v>5.6</v>
      </c>
      <c r="F52" s="139" t="s">
        <v>4</v>
      </c>
      <c r="G52" s="6" t="s">
        <v>5</v>
      </c>
      <c r="H52" s="180" t="s">
        <v>738</v>
      </c>
      <c r="I52" s="5"/>
      <c r="J52" s="6" t="s">
        <v>194</v>
      </c>
      <c r="K52" s="21" t="s">
        <v>1993</v>
      </c>
      <c r="L52" s="84" t="s">
        <v>10</v>
      </c>
      <c r="M52" s="179" t="s">
        <v>7</v>
      </c>
      <c r="N52" s="150">
        <v>6800</v>
      </c>
      <c r="O52" s="22">
        <v>2000</v>
      </c>
      <c r="P52" s="49">
        <f t="shared" si="0"/>
        <v>13.6</v>
      </c>
      <c r="Q52" s="13"/>
      <c r="R52" s="12"/>
      <c r="S52" s="13"/>
      <c r="T52" s="12">
        <v>3</v>
      </c>
      <c r="U52" s="13"/>
      <c r="V52" s="12"/>
      <c r="W52" s="12"/>
      <c r="X52" s="13"/>
      <c r="Y52" s="13"/>
    </row>
    <row r="53" spans="1:25" ht="30" x14ac:dyDescent="0.25">
      <c r="A53" s="139" t="s">
        <v>139</v>
      </c>
      <c r="B53" s="139" t="s">
        <v>228</v>
      </c>
      <c r="C53" s="139" t="s">
        <v>945</v>
      </c>
      <c r="D53" s="139" t="s">
        <v>946</v>
      </c>
      <c r="E53" s="190">
        <v>5.6</v>
      </c>
      <c r="F53" s="139" t="s">
        <v>4</v>
      </c>
      <c r="G53" s="6" t="s">
        <v>5</v>
      </c>
      <c r="H53" s="180" t="s">
        <v>738</v>
      </c>
      <c r="I53" s="5"/>
      <c r="J53" s="6" t="s">
        <v>194</v>
      </c>
      <c r="K53" s="21" t="s">
        <v>1993</v>
      </c>
      <c r="L53" s="84" t="s">
        <v>10</v>
      </c>
      <c r="M53" s="179" t="s">
        <v>7</v>
      </c>
      <c r="N53" s="150">
        <v>3900</v>
      </c>
      <c r="O53" s="22">
        <v>2000</v>
      </c>
      <c r="P53" s="49">
        <f t="shared" si="0"/>
        <v>7.8</v>
      </c>
      <c r="Q53" s="13"/>
      <c r="R53" s="12"/>
      <c r="S53" s="13"/>
      <c r="T53" s="12">
        <v>3</v>
      </c>
      <c r="U53" s="13"/>
      <c r="V53" s="12"/>
      <c r="W53" s="12"/>
      <c r="X53" s="13"/>
      <c r="Y53" s="13"/>
    </row>
    <row r="54" spans="1:25" ht="30" x14ac:dyDescent="0.25">
      <c r="A54" s="139" t="s">
        <v>139</v>
      </c>
      <c r="B54" s="139" t="s">
        <v>228</v>
      </c>
      <c r="C54" s="139" t="s">
        <v>947</v>
      </c>
      <c r="D54" s="139" t="s">
        <v>948</v>
      </c>
      <c r="E54" s="190">
        <v>5.2</v>
      </c>
      <c r="F54" s="139" t="s">
        <v>4</v>
      </c>
      <c r="G54" s="6" t="s">
        <v>5</v>
      </c>
      <c r="H54" s="180" t="s">
        <v>738</v>
      </c>
      <c r="I54" s="5"/>
      <c r="J54" s="6" t="s">
        <v>194</v>
      </c>
      <c r="K54" s="21" t="s">
        <v>1993</v>
      </c>
      <c r="L54" s="84" t="s">
        <v>10</v>
      </c>
      <c r="M54" s="179" t="s">
        <v>7</v>
      </c>
      <c r="N54" s="150">
        <v>3800</v>
      </c>
      <c r="O54" s="22">
        <v>2000</v>
      </c>
      <c r="P54" s="49">
        <f t="shared" si="0"/>
        <v>7.6</v>
      </c>
      <c r="Q54" s="13"/>
      <c r="R54" s="12"/>
      <c r="S54" s="13"/>
      <c r="T54" s="12">
        <v>3</v>
      </c>
      <c r="U54" s="13"/>
      <c r="V54" s="12"/>
      <c r="W54" s="12"/>
      <c r="X54" s="13"/>
      <c r="Y54" s="13"/>
    </row>
    <row r="55" spans="1:25" ht="30" x14ac:dyDescent="0.25">
      <c r="A55" s="139" t="s">
        <v>139</v>
      </c>
      <c r="B55" s="139" t="s">
        <v>228</v>
      </c>
      <c r="C55" s="139" t="s">
        <v>949</v>
      </c>
      <c r="D55" s="139" t="s">
        <v>950</v>
      </c>
      <c r="E55" s="190">
        <v>5.5</v>
      </c>
      <c r="F55" s="139" t="s">
        <v>4</v>
      </c>
      <c r="G55" s="6" t="s">
        <v>5</v>
      </c>
      <c r="H55" s="180" t="s">
        <v>738</v>
      </c>
      <c r="I55" s="5"/>
      <c r="J55" s="6" t="s">
        <v>194</v>
      </c>
      <c r="K55" s="21" t="s">
        <v>1993</v>
      </c>
      <c r="L55" s="95" t="s">
        <v>10</v>
      </c>
      <c r="M55" s="12" t="s">
        <v>7</v>
      </c>
      <c r="N55" s="150">
        <v>6450</v>
      </c>
      <c r="O55" s="22">
        <v>2000</v>
      </c>
      <c r="P55" s="49">
        <f t="shared" si="0"/>
        <v>12.899999999999999</v>
      </c>
      <c r="Q55" s="13"/>
      <c r="R55" s="12"/>
      <c r="S55" s="13"/>
      <c r="T55" s="12">
        <v>3</v>
      </c>
      <c r="U55" s="25"/>
      <c r="V55" s="12"/>
      <c r="W55" s="12"/>
      <c r="X55" s="13"/>
      <c r="Y55" s="13"/>
    </row>
    <row r="56" spans="1:25" ht="30" x14ac:dyDescent="0.25">
      <c r="A56" s="139" t="s">
        <v>139</v>
      </c>
      <c r="B56" s="139" t="s">
        <v>228</v>
      </c>
      <c r="C56" s="139" t="s">
        <v>951</v>
      </c>
      <c r="D56" s="139" t="s">
        <v>952</v>
      </c>
      <c r="E56" s="190">
        <v>5.5</v>
      </c>
      <c r="F56" s="139" t="s">
        <v>4</v>
      </c>
      <c r="G56" s="6" t="s">
        <v>5</v>
      </c>
      <c r="H56" s="180" t="s">
        <v>738</v>
      </c>
      <c r="I56" s="5"/>
      <c r="J56" s="6" t="s">
        <v>194</v>
      </c>
      <c r="K56" s="21" t="s">
        <v>1993</v>
      </c>
      <c r="L56" s="95" t="s">
        <v>10</v>
      </c>
      <c r="M56" s="179" t="s">
        <v>7</v>
      </c>
      <c r="N56" s="150">
        <v>3900</v>
      </c>
      <c r="O56" s="6">
        <v>2000</v>
      </c>
      <c r="P56" s="35">
        <f t="shared" si="0"/>
        <v>7.8</v>
      </c>
      <c r="Q56" s="13"/>
      <c r="R56" s="12"/>
      <c r="S56" s="13"/>
      <c r="T56" s="12">
        <v>3</v>
      </c>
      <c r="U56" s="13"/>
      <c r="V56" s="12"/>
      <c r="W56" s="12"/>
      <c r="X56" s="13"/>
      <c r="Y56" s="13"/>
    </row>
    <row r="57" spans="1:25" ht="30" x14ac:dyDescent="0.25">
      <c r="A57" s="177" t="s">
        <v>139</v>
      </c>
      <c r="B57" s="177" t="s">
        <v>228</v>
      </c>
      <c r="C57" s="177" t="s">
        <v>953</v>
      </c>
      <c r="D57" s="177" t="s">
        <v>701</v>
      </c>
      <c r="E57" s="194">
        <v>17.5</v>
      </c>
      <c r="F57" s="177" t="s">
        <v>4</v>
      </c>
      <c r="G57" s="22" t="s">
        <v>5</v>
      </c>
      <c r="H57" s="180" t="s">
        <v>738</v>
      </c>
      <c r="I57" s="21"/>
      <c r="J57" s="22" t="s">
        <v>194</v>
      </c>
      <c r="K57" s="21" t="s">
        <v>1993</v>
      </c>
      <c r="L57" s="79" t="s">
        <v>10</v>
      </c>
      <c r="M57" s="24" t="s">
        <v>7</v>
      </c>
      <c r="N57" s="154">
        <v>1750</v>
      </c>
      <c r="O57" s="22">
        <v>2125</v>
      </c>
      <c r="P57" s="49">
        <f t="shared" si="0"/>
        <v>3.71875</v>
      </c>
      <c r="Q57" s="25"/>
      <c r="R57" s="24"/>
      <c r="S57" s="25">
        <v>17.75</v>
      </c>
      <c r="T57" s="24">
        <v>3</v>
      </c>
      <c r="U57" s="11">
        <f>S57*T57-P57-Q57-X57-Y57</f>
        <v>44.371250000000003</v>
      </c>
      <c r="V57" s="24"/>
      <c r="W57" s="24"/>
      <c r="X57" s="25">
        <v>2</v>
      </c>
      <c r="Y57" s="25">
        <v>3.16</v>
      </c>
    </row>
    <row r="58" spans="1:25" ht="30" x14ac:dyDescent="0.25">
      <c r="A58" s="139" t="s">
        <v>139</v>
      </c>
      <c r="B58" s="139" t="s">
        <v>228</v>
      </c>
      <c r="C58" s="139" t="s">
        <v>954</v>
      </c>
      <c r="D58" s="139" t="s">
        <v>294</v>
      </c>
      <c r="E58" s="190">
        <v>65.099999999999994</v>
      </c>
      <c r="F58" s="139" t="s">
        <v>4</v>
      </c>
      <c r="G58" s="6" t="s">
        <v>5</v>
      </c>
      <c r="H58" s="180" t="s">
        <v>738</v>
      </c>
      <c r="I58" s="5"/>
      <c r="J58" s="6" t="s">
        <v>194</v>
      </c>
      <c r="K58" s="21" t="s">
        <v>1993</v>
      </c>
      <c r="L58" s="95" t="s">
        <v>6</v>
      </c>
      <c r="M58" s="12" t="s">
        <v>7</v>
      </c>
      <c r="N58" s="150">
        <v>13000</v>
      </c>
      <c r="O58" s="22">
        <v>2125</v>
      </c>
      <c r="P58" s="49">
        <f t="shared" si="0"/>
        <v>27.625</v>
      </c>
      <c r="Q58" s="13"/>
      <c r="R58" s="12"/>
      <c r="S58" s="13">
        <v>42.91</v>
      </c>
      <c r="T58" s="12">
        <v>2.7</v>
      </c>
      <c r="U58" s="11">
        <f>S58*T58-P58-Q58-X58-Y58</f>
        <v>88.231999999999999</v>
      </c>
      <c r="V58" s="12"/>
      <c r="W58" s="12"/>
      <c r="X58" s="13"/>
      <c r="Y58" s="13"/>
    </row>
    <row r="59" spans="1:25" ht="30" x14ac:dyDescent="0.25">
      <c r="A59" s="145" t="s">
        <v>139</v>
      </c>
      <c r="B59" s="145" t="s">
        <v>228</v>
      </c>
      <c r="C59" s="145" t="s">
        <v>955</v>
      </c>
      <c r="D59" s="145" t="s">
        <v>55</v>
      </c>
      <c r="E59" s="235">
        <v>51.5</v>
      </c>
      <c r="F59" s="145" t="s">
        <v>4</v>
      </c>
      <c r="G59" s="6" t="s">
        <v>5</v>
      </c>
      <c r="H59" s="180" t="s">
        <v>738</v>
      </c>
      <c r="I59" s="5"/>
      <c r="J59" s="6" t="s">
        <v>194</v>
      </c>
      <c r="K59" s="21" t="s">
        <v>1993</v>
      </c>
      <c r="L59" s="84" t="s">
        <v>6</v>
      </c>
      <c r="M59" s="12" t="s">
        <v>7</v>
      </c>
      <c r="N59" s="150">
        <v>8750</v>
      </c>
      <c r="O59" s="22">
        <v>2125</v>
      </c>
      <c r="P59" s="49">
        <f t="shared" si="0"/>
        <v>18.59375</v>
      </c>
      <c r="Q59" s="13">
        <v>3.45</v>
      </c>
      <c r="R59" s="12"/>
      <c r="S59" s="13">
        <v>78.290000000000006</v>
      </c>
      <c r="T59" s="12">
        <v>3</v>
      </c>
      <c r="U59" s="16">
        <f>S59*T59-P59-Q59-X59-Y59</f>
        <v>212.82625000000002</v>
      </c>
      <c r="V59" s="12"/>
      <c r="W59" s="12"/>
      <c r="X59" s="13"/>
      <c r="Y59" s="13"/>
    </row>
    <row r="60" spans="1:25" ht="30" x14ac:dyDescent="0.25">
      <c r="A60" s="139" t="s">
        <v>139</v>
      </c>
      <c r="B60" s="139" t="s">
        <v>228</v>
      </c>
      <c r="C60" s="139" t="s">
        <v>956</v>
      </c>
      <c r="D60" s="139" t="s">
        <v>433</v>
      </c>
      <c r="E60" s="190">
        <v>16.5</v>
      </c>
      <c r="F60" s="139" t="s">
        <v>4</v>
      </c>
      <c r="G60" s="6" t="s">
        <v>5</v>
      </c>
      <c r="H60" s="180" t="s">
        <v>738</v>
      </c>
      <c r="I60" s="5"/>
      <c r="J60" s="6" t="s">
        <v>194</v>
      </c>
      <c r="K60" s="21" t="s">
        <v>1993</v>
      </c>
      <c r="L60" s="95" t="s">
        <v>10</v>
      </c>
      <c r="M60" s="12" t="s">
        <v>7</v>
      </c>
      <c r="N60" s="150">
        <v>1125</v>
      </c>
      <c r="O60" s="22">
        <v>2125</v>
      </c>
      <c r="P60" s="49">
        <f t="shared" si="0"/>
        <v>2.390625</v>
      </c>
      <c r="Q60" s="13"/>
      <c r="R60" s="12"/>
      <c r="S60" s="13">
        <v>16.86</v>
      </c>
      <c r="T60" s="12">
        <v>2.9</v>
      </c>
      <c r="U60" s="16">
        <f>S60*T60-P60-Q60-X60-Y60</f>
        <v>43.003374999999998</v>
      </c>
      <c r="V60" s="12"/>
      <c r="W60" s="12"/>
      <c r="X60" s="13">
        <v>3.5</v>
      </c>
      <c r="Y60" s="13"/>
    </row>
    <row r="61" spans="1:25" ht="30" x14ac:dyDescent="0.25">
      <c r="A61" s="139" t="s">
        <v>139</v>
      </c>
      <c r="B61" s="139" t="s">
        <v>228</v>
      </c>
      <c r="C61" s="139" t="s">
        <v>957</v>
      </c>
      <c r="D61" s="139" t="s">
        <v>224</v>
      </c>
      <c r="E61" s="190">
        <v>2</v>
      </c>
      <c r="F61" s="139" t="s">
        <v>4</v>
      </c>
      <c r="G61" s="6" t="s">
        <v>5</v>
      </c>
      <c r="H61" s="180" t="s">
        <v>738</v>
      </c>
      <c r="I61" s="5"/>
      <c r="J61" s="6" t="s">
        <v>194</v>
      </c>
      <c r="K61" s="5" t="s">
        <v>998</v>
      </c>
      <c r="L61" s="95" t="s">
        <v>6</v>
      </c>
      <c r="M61" s="12" t="s">
        <v>7</v>
      </c>
      <c r="N61" s="150">
        <v>875</v>
      </c>
      <c r="O61" s="22">
        <v>2125</v>
      </c>
      <c r="P61" s="49">
        <f t="shared" si="0"/>
        <v>1.859375</v>
      </c>
      <c r="Q61" s="13"/>
      <c r="R61" s="12"/>
      <c r="S61" s="13">
        <v>5.59</v>
      </c>
      <c r="T61" s="12">
        <v>2.6</v>
      </c>
      <c r="U61" s="13"/>
      <c r="V61" s="12"/>
      <c r="W61" s="12"/>
      <c r="X61" s="47">
        <f>S61*T61-P61-Q61-Y61</f>
        <v>12.674625000000001</v>
      </c>
      <c r="Y61" s="13"/>
    </row>
    <row r="62" spans="1:25" ht="30" x14ac:dyDescent="0.25">
      <c r="A62" s="139" t="s">
        <v>139</v>
      </c>
      <c r="B62" s="139" t="s">
        <v>228</v>
      </c>
      <c r="C62" s="139" t="s">
        <v>958</v>
      </c>
      <c r="D62" s="139" t="s">
        <v>223</v>
      </c>
      <c r="E62" s="190">
        <v>2</v>
      </c>
      <c r="F62" s="139" t="s">
        <v>4</v>
      </c>
      <c r="G62" s="6" t="s">
        <v>5</v>
      </c>
      <c r="H62" s="180" t="s">
        <v>738</v>
      </c>
      <c r="I62" s="5"/>
      <c r="J62" s="6" t="s">
        <v>194</v>
      </c>
      <c r="K62" s="5" t="s">
        <v>998</v>
      </c>
      <c r="L62" s="95" t="s">
        <v>6</v>
      </c>
      <c r="M62" s="12" t="s">
        <v>7</v>
      </c>
      <c r="N62" s="150">
        <v>875</v>
      </c>
      <c r="O62" s="22">
        <v>2125</v>
      </c>
      <c r="P62" s="49">
        <f t="shared" si="0"/>
        <v>1.859375</v>
      </c>
      <c r="Q62" s="13"/>
      <c r="R62" s="12"/>
      <c r="S62" s="13">
        <v>5.58</v>
      </c>
      <c r="T62" s="12">
        <v>2.6</v>
      </c>
      <c r="U62" s="13"/>
      <c r="V62" s="12"/>
      <c r="W62" s="12"/>
      <c r="X62" s="47">
        <f>S62*T62-P62-Q62-Y62</f>
        <v>12.648625000000001</v>
      </c>
      <c r="Y62" s="13"/>
    </row>
    <row r="63" spans="1:25" ht="30" x14ac:dyDescent="0.25">
      <c r="A63" s="139" t="s">
        <v>139</v>
      </c>
      <c r="B63" s="139" t="s">
        <v>228</v>
      </c>
      <c r="C63" s="139" t="s">
        <v>959</v>
      </c>
      <c r="D63" s="139" t="s">
        <v>365</v>
      </c>
      <c r="E63" s="190">
        <v>5.7</v>
      </c>
      <c r="F63" s="139" t="s">
        <v>4</v>
      </c>
      <c r="G63" s="6" t="s">
        <v>5</v>
      </c>
      <c r="H63" s="180" t="s">
        <v>738</v>
      </c>
      <c r="I63" s="5"/>
      <c r="J63" s="6" t="s">
        <v>194</v>
      </c>
      <c r="K63" s="21" t="s">
        <v>1993</v>
      </c>
      <c r="L63" s="95" t="s">
        <v>81</v>
      </c>
      <c r="M63" s="12" t="s">
        <v>7</v>
      </c>
      <c r="N63" s="150">
        <v>1125</v>
      </c>
      <c r="O63" s="22">
        <v>2125</v>
      </c>
      <c r="P63" s="49">
        <f t="shared" si="0"/>
        <v>2.390625</v>
      </c>
      <c r="Q63" s="13"/>
      <c r="R63" s="12"/>
      <c r="S63" s="13">
        <v>9.7899999999999991</v>
      </c>
      <c r="T63" s="12">
        <v>2.6</v>
      </c>
      <c r="U63" s="25"/>
      <c r="V63" s="12"/>
      <c r="W63" s="12"/>
      <c r="X63" s="47">
        <f>S63*T63-P63-Q63-Y63</f>
        <v>23.063374999999997</v>
      </c>
      <c r="Y63" s="13"/>
    </row>
    <row r="64" spans="1:25" ht="30" x14ac:dyDescent="0.25">
      <c r="A64" s="139" t="s">
        <v>139</v>
      </c>
      <c r="B64" s="139" t="s">
        <v>228</v>
      </c>
      <c r="C64" s="139" t="s">
        <v>960</v>
      </c>
      <c r="D64" s="139" t="s">
        <v>715</v>
      </c>
      <c r="E64" s="190">
        <v>7.6</v>
      </c>
      <c r="F64" s="139" t="s">
        <v>4</v>
      </c>
      <c r="G64" s="6" t="s">
        <v>5</v>
      </c>
      <c r="H64" s="180" t="s">
        <v>738</v>
      </c>
      <c r="I64" s="5"/>
      <c r="J64" s="6" t="s">
        <v>194</v>
      </c>
      <c r="K64" s="21" t="s">
        <v>1993</v>
      </c>
      <c r="L64" s="84" t="s">
        <v>583</v>
      </c>
      <c r="M64" s="12" t="s">
        <v>7</v>
      </c>
      <c r="N64" s="150">
        <v>875</v>
      </c>
      <c r="O64" s="22">
        <v>2125</v>
      </c>
      <c r="P64" s="49">
        <f t="shared" si="0"/>
        <v>1.859375</v>
      </c>
      <c r="Q64" s="13"/>
      <c r="R64" s="12"/>
      <c r="S64" s="13">
        <v>11.35</v>
      </c>
      <c r="T64" s="12">
        <v>3</v>
      </c>
      <c r="U64" s="25"/>
      <c r="V64" s="12"/>
      <c r="W64" s="12"/>
      <c r="X64" s="47">
        <f>S64*T64-P64-Q64-Y64</f>
        <v>32.190624999999997</v>
      </c>
      <c r="Y64" s="13"/>
    </row>
    <row r="65" spans="1:25" ht="30" x14ac:dyDescent="0.25">
      <c r="A65" s="139" t="s">
        <v>139</v>
      </c>
      <c r="B65" s="139" t="s">
        <v>228</v>
      </c>
      <c r="C65" s="139" t="s">
        <v>961</v>
      </c>
      <c r="D65" s="139" t="s">
        <v>154</v>
      </c>
      <c r="E65" s="190">
        <v>6.9</v>
      </c>
      <c r="F65" s="139" t="s">
        <v>4</v>
      </c>
      <c r="G65" s="6" t="s">
        <v>5</v>
      </c>
      <c r="H65" s="180" t="s">
        <v>738</v>
      </c>
      <c r="I65" s="5"/>
      <c r="J65" s="6" t="s">
        <v>194</v>
      </c>
      <c r="K65" s="21" t="s">
        <v>1993</v>
      </c>
      <c r="L65" s="84" t="s">
        <v>583</v>
      </c>
      <c r="M65" s="12" t="s">
        <v>7</v>
      </c>
      <c r="N65" s="150">
        <v>2625</v>
      </c>
      <c r="O65" s="22">
        <v>2125</v>
      </c>
      <c r="P65" s="49">
        <f t="shared" si="0"/>
        <v>5.578125</v>
      </c>
      <c r="Q65" s="13"/>
      <c r="R65" s="12"/>
      <c r="S65" s="13">
        <v>10.85</v>
      </c>
      <c r="T65" s="12">
        <v>3</v>
      </c>
      <c r="U65" s="25"/>
      <c r="V65" s="152">
        <f>S65*T65-P65-Q65-X65-Y65</f>
        <v>24.971874999999997</v>
      </c>
      <c r="W65" s="12"/>
      <c r="X65" s="13">
        <v>2</v>
      </c>
      <c r="Y65" s="13"/>
    </row>
    <row r="66" spans="1:25" ht="30" x14ac:dyDescent="0.25">
      <c r="A66" s="139" t="s">
        <v>139</v>
      </c>
      <c r="B66" s="139" t="s">
        <v>228</v>
      </c>
      <c r="C66" s="139" t="s">
        <v>962</v>
      </c>
      <c r="D66" s="139" t="s">
        <v>963</v>
      </c>
      <c r="E66" s="190">
        <v>16.2</v>
      </c>
      <c r="F66" s="139" t="s">
        <v>4</v>
      </c>
      <c r="G66" s="6" t="s">
        <v>5</v>
      </c>
      <c r="H66" s="180" t="s">
        <v>738</v>
      </c>
      <c r="I66" s="5"/>
      <c r="J66" s="6" t="s">
        <v>194</v>
      </c>
      <c r="K66" s="21" t="s">
        <v>1993</v>
      </c>
      <c r="L66" s="84" t="s">
        <v>583</v>
      </c>
      <c r="M66" s="12" t="s">
        <v>7</v>
      </c>
      <c r="N66" s="150">
        <v>875</v>
      </c>
      <c r="O66" s="22">
        <v>2125</v>
      </c>
      <c r="P66" s="49">
        <f t="shared" si="0"/>
        <v>1.859375</v>
      </c>
      <c r="Q66" s="13">
        <v>3.45</v>
      </c>
      <c r="R66" s="12">
        <v>2.25</v>
      </c>
      <c r="S66" s="13">
        <v>16.3</v>
      </c>
      <c r="T66" s="12">
        <v>3</v>
      </c>
      <c r="U66" s="25"/>
      <c r="V66" s="152">
        <f>S66*T66-P66-Q66-X66-Y66</f>
        <v>40.090625000000003</v>
      </c>
      <c r="W66" s="12"/>
      <c r="X66" s="13">
        <v>3.5</v>
      </c>
      <c r="Y66" s="13"/>
    </row>
    <row r="67" spans="1:25" ht="30" x14ac:dyDescent="0.25">
      <c r="A67" s="139" t="s">
        <v>139</v>
      </c>
      <c r="B67" s="139" t="s">
        <v>228</v>
      </c>
      <c r="C67" s="139" t="s">
        <v>964</v>
      </c>
      <c r="D67" s="139" t="s">
        <v>965</v>
      </c>
      <c r="E67" s="190">
        <v>19.2</v>
      </c>
      <c r="F67" s="139" t="s">
        <v>4</v>
      </c>
      <c r="G67" s="6" t="s">
        <v>5</v>
      </c>
      <c r="H67" s="180" t="s">
        <v>738</v>
      </c>
      <c r="I67" s="5"/>
      <c r="J67" s="6" t="s">
        <v>194</v>
      </c>
      <c r="K67" s="21" t="s">
        <v>1993</v>
      </c>
      <c r="L67" s="95" t="s">
        <v>583</v>
      </c>
      <c r="M67" s="12" t="s">
        <v>7</v>
      </c>
      <c r="N67" s="150">
        <v>1775</v>
      </c>
      <c r="O67" s="22">
        <v>2125</v>
      </c>
      <c r="P67" s="49">
        <f t="shared" si="0"/>
        <v>3.7718749999999996</v>
      </c>
      <c r="Q67" s="13">
        <v>1.73</v>
      </c>
      <c r="R67" s="12">
        <v>1.1299999999999999</v>
      </c>
      <c r="S67" s="13">
        <v>17.66</v>
      </c>
      <c r="T67" s="12">
        <v>3</v>
      </c>
      <c r="U67" s="13"/>
      <c r="V67" s="152">
        <f>S67*T67-P67-Q67-X67-Y67</f>
        <v>45.478125000000006</v>
      </c>
      <c r="W67" s="12"/>
      <c r="X67" s="13">
        <v>2</v>
      </c>
      <c r="Y67" s="13"/>
    </row>
    <row r="68" spans="1:25" ht="30" x14ac:dyDescent="0.25">
      <c r="A68" s="139" t="s">
        <v>139</v>
      </c>
      <c r="B68" s="139" t="s">
        <v>228</v>
      </c>
      <c r="C68" s="139" t="s">
        <v>966</v>
      </c>
      <c r="D68" s="139" t="s">
        <v>80</v>
      </c>
      <c r="E68" s="190">
        <v>5.9</v>
      </c>
      <c r="F68" s="139" t="s">
        <v>4</v>
      </c>
      <c r="G68" s="6" t="s">
        <v>5</v>
      </c>
      <c r="H68" s="180" t="s">
        <v>738</v>
      </c>
      <c r="I68" s="5"/>
      <c r="J68" s="6" t="s">
        <v>194</v>
      </c>
      <c r="K68" s="5" t="s">
        <v>998</v>
      </c>
      <c r="L68" s="95" t="s">
        <v>583</v>
      </c>
      <c r="M68" s="12" t="s">
        <v>7</v>
      </c>
      <c r="N68" s="150">
        <v>900</v>
      </c>
      <c r="O68" s="22">
        <v>2125</v>
      </c>
      <c r="P68" s="49">
        <f t="shared" si="0"/>
        <v>1.9124999999999999</v>
      </c>
      <c r="Q68" s="13"/>
      <c r="R68" s="12"/>
      <c r="S68" s="13">
        <v>10.41</v>
      </c>
      <c r="T68" s="12">
        <v>3</v>
      </c>
      <c r="U68" s="13"/>
      <c r="V68" s="152">
        <f>S68*T68-P68-Q68-X68-Y68</f>
        <v>29.317499999999999</v>
      </c>
      <c r="W68" s="12"/>
      <c r="X68" s="13"/>
      <c r="Y68" s="13"/>
    </row>
    <row r="69" spans="1:25" ht="30" x14ac:dyDescent="0.25">
      <c r="A69" s="1" t="s">
        <v>139</v>
      </c>
      <c r="B69" s="1" t="s">
        <v>278</v>
      </c>
      <c r="C69" s="1" t="s">
        <v>967</v>
      </c>
      <c r="D69" s="1" t="s">
        <v>80</v>
      </c>
      <c r="E69" s="29">
        <v>9.4</v>
      </c>
      <c r="F69" s="1" t="s">
        <v>4</v>
      </c>
      <c r="G69" s="6" t="s">
        <v>77</v>
      </c>
      <c r="H69" s="180" t="s">
        <v>738</v>
      </c>
      <c r="I69" s="5"/>
      <c r="J69" s="6" t="s">
        <v>194</v>
      </c>
      <c r="K69" s="5" t="s">
        <v>998</v>
      </c>
      <c r="L69" s="95" t="s">
        <v>6</v>
      </c>
      <c r="M69" s="12" t="s">
        <v>7</v>
      </c>
      <c r="N69" s="150">
        <v>900</v>
      </c>
      <c r="O69" s="22">
        <v>2125</v>
      </c>
      <c r="P69" s="35">
        <f t="shared" ref="P69:P96" si="3">N69*O69*0.000001</f>
        <v>1.9124999999999999</v>
      </c>
      <c r="Q69" s="13"/>
      <c r="R69" s="12"/>
      <c r="S69" s="13">
        <v>12.5</v>
      </c>
      <c r="T69" s="12">
        <v>2.6</v>
      </c>
      <c r="U69" s="11">
        <f>S69*T69-P69-Q69-X69-Y69</f>
        <v>30.587499999999999</v>
      </c>
      <c r="V69" s="12"/>
      <c r="W69" s="12"/>
      <c r="X69" s="13"/>
      <c r="Y69" s="13"/>
    </row>
    <row r="70" spans="1:25" ht="30" x14ac:dyDescent="0.25">
      <c r="A70" s="1" t="s">
        <v>139</v>
      </c>
      <c r="B70" s="1" t="s">
        <v>278</v>
      </c>
      <c r="C70" s="1" t="s">
        <v>968</v>
      </c>
      <c r="D70" s="1" t="s">
        <v>373</v>
      </c>
      <c r="E70" s="29">
        <v>11.5</v>
      </c>
      <c r="F70" s="1" t="s">
        <v>4</v>
      </c>
      <c r="G70" s="6" t="s">
        <v>77</v>
      </c>
      <c r="H70" s="180" t="s">
        <v>738</v>
      </c>
      <c r="I70" s="5"/>
      <c r="J70" s="6" t="s">
        <v>194</v>
      </c>
      <c r="K70" s="21" t="s">
        <v>1993</v>
      </c>
      <c r="L70" s="95" t="s">
        <v>10</v>
      </c>
      <c r="M70" s="12" t="s">
        <v>7</v>
      </c>
      <c r="N70" s="150">
        <v>3125</v>
      </c>
      <c r="O70" s="22">
        <v>2125</v>
      </c>
      <c r="P70" s="35">
        <f t="shared" si="3"/>
        <v>6.640625</v>
      </c>
      <c r="Q70" s="13"/>
      <c r="R70" s="12"/>
      <c r="S70" s="13">
        <v>13.96</v>
      </c>
      <c r="T70" s="12">
        <v>3</v>
      </c>
      <c r="U70" s="26">
        <f>S70*0.4</f>
        <v>5.5840000000000005</v>
      </c>
      <c r="V70" s="152"/>
      <c r="W70" s="152">
        <f>S70*T70-U70-Y70-P70-Q70</f>
        <v>29.655374999999999</v>
      </c>
      <c r="X70" s="47"/>
      <c r="Y70" s="13"/>
    </row>
    <row r="71" spans="1:25" ht="30" x14ac:dyDescent="0.25">
      <c r="A71" s="1" t="s">
        <v>139</v>
      </c>
      <c r="B71" s="1" t="s">
        <v>278</v>
      </c>
      <c r="C71" s="1" t="s">
        <v>969</v>
      </c>
      <c r="D71" s="1" t="s">
        <v>151</v>
      </c>
      <c r="E71" s="29">
        <v>2.6</v>
      </c>
      <c r="F71" s="1" t="s">
        <v>4</v>
      </c>
      <c r="G71" s="6" t="s">
        <v>77</v>
      </c>
      <c r="H71" s="180" t="s">
        <v>738</v>
      </c>
      <c r="I71" s="5"/>
      <c r="J71" s="6" t="s">
        <v>194</v>
      </c>
      <c r="K71" s="21" t="s">
        <v>1993</v>
      </c>
      <c r="L71" s="95" t="s">
        <v>6</v>
      </c>
      <c r="M71" s="12" t="s">
        <v>7</v>
      </c>
      <c r="N71" s="150">
        <v>875</v>
      </c>
      <c r="O71" s="6">
        <v>2125</v>
      </c>
      <c r="P71" s="35">
        <f t="shared" si="3"/>
        <v>1.859375</v>
      </c>
      <c r="Q71" s="13"/>
      <c r="R71" s="12"/>
      <c r="S71" s="13">
        <v>6.46</v>
      </c>
      <c r="T71" s="12">
        <v>2.6</v>
      </c>
      <c r="U71" s="13">
        <f>S71*T71-P71-Q71-X71-Y71</f>
        <v>3.208124999999999</v>
      </c>
      <c r="V71" s="12"/>
      <c r="W71" s="12"/>
      <c r="X71" s="13">
        <f>(S71-N71/1000)*2.1</f>
        <v>11.7285</v>
      </c>
      <c r="Y71" s="13"/>
    </row>
    <row r="72" spans="1:25" ht="30" x14ac:dyDescent="0.25">
      <c r="A72" s="73" t="s">
        <v>139</v>
      </c>
      <c r="B72" s="73" t="s">
        <v>278</v>
      </c>
      <c r="C72" s="44" t="s">
        <v>970</v>
      </c>
      <c r="D72" s="44" t="s">
        <v>374</v>
      </c>
      <c r="E72" s="46">
        <v>20.100000000000001</v>
      </c>
      <c r="F72" s="73" t="s">
        <v>4</v>
      </c>
      <c r="G72" s="22" t="s">
        <v>77</v>
      </c>
      <c r="H72" s="180" t="s">
        <v>738</v>
      </c>
      <c r="I72" s="210"/>
      <c r="J72" s="218" t="s">
        <v>194</v>
      </c>
      <c r="K72" s="21" t="s">
        <v>1993</v>
      </c>
      <c r="L72" s="236" t="s">
        <v>10</v>
      </c>
      <c r="M72" s="330" t="s">
        <v>7</v>
      </c>
      <c r="N72" s="331">
        <v>1875</v>
      </c>
      <c r="O72" s="218">
        <v>2125</v>
      </c>
      <c r="P72" s="332">
        <f t="shared" si="3"/>
        <v>3.984375</v>
      </c>
      <c r="Q72" s="333">
        <v>12.07</v>
      </c>
      <c r="R72" s="330">
        <v>1.95</v>
      </c>
      <c r="S72" s="333">
        <v>17.95</v>
      </c>
      <c r="T72" s="330">
        <v>3</v>
      </c>
      <c r="U72" s="26">
        <f>S72*0.4</f>
        <v>7.18</v>
      </c>
      <c r="V72" s="334"/>
      <c r="W72" s="334">
        <f>S72*T72-U72-Y72-P72-Q72</f>
        <v>30.615624999999994</v>
      </c>
      <c r="X72" s="335"/>
      <c r="Y72" s="333"/>
    </row>
    <row r="73" spans="1:25" ht="30" x14ac:dyDescent="0.25">
      <c r="A73" s="1" t="s">
        <v>139</v>
      </c>
      <c r="B73" s="1" t="s">
        <v>278</v>
      </c>
      <c r="C73" s="44" t="s">
        <v>971</v>
      </c>
      <c r="D73" s="44" t="s">
        <v>101</v>
      </c>
      <c r="E73" s="46">
        <v>2.9</v>
      </c>
      <c r="F73" s="1" t="s">
        <v>4</v>
      </c>
      <c r="G73" s="22" t="s">
        <v>77</v>
      </c>
      <c r="H73" s="180" t="s">
        <v>738</v>
      </c>
      <c r="I73" s="5"/>
      <c r="J73" s="6" t="s">
        <v>194</v>
      </c>
      <c r="K73" s="21" t="s">
        <v>1993</v>
      </c>
      <c r="L73" s="95" t="s">
        <v>81</v>
      </c>
      <c r="M73" s="179" t="s">
        <v>7</v>
      </c>
      <c r="N73" s="150">
        <v>750</v>
      </c>
      <c r="O73" s="6">
        <v>2125</v>
      </c>
      <c r="P73" s="35">
        <f t="shared" si="3"/>
        <v>1.59375</v>
      </c>
      <c r="Q73" s="13"/>
      <c r="R73" s="12"/>
      <c r="S73" s="13">
        <v>6.9</v>
      </c>
      <c r="T73" s="12">
        <v>2.6</v>
      </c>
      <c r="U73" s="25"/>
      <c r="V73" s="12"/>
      <c r="W73" s="12"/>
      <c r="X73" s="47">
        <f>S73*T73-P73-Q73-Y73</f>
        <v>16.346250000000001</v>
      </c>
      <c r="Y73" s="13"/>
    </row>
    <row r="74" spans="1:25" ht="30" x14ac:dyDescent="0.25">
      <c r="A74" s="1" t="s">
        <v>139</v>
      </c>
      <c r="B74" s="1" t="s">
        <v>278</v>
      </c>
      <c r="C74" s="44" t="s">
        <v>972</v>
      </c>
      <c r="D74" s="44" t="s">
        <v>3</v>
      </c>
      <c r="E74" s="46">
        <v>2.1</v>
      </c>
      <c r="F74" s="1" t="s">
        <v>4</v>
      </c>
      <c r="G74" s="22" t="s">
        <v>77</v>
      </c>
      <c r="H74" s="180" t="s">
        <v>738</v>
      </c>
      <c r="I74" s="5"/>
      <c r="J74" s="6" t="s">
        <v>194</v>
      </c>
      <c r="K74" s="21" t="s">
        <v>1993</v>
      </c>
      <c r="L74" s="84" t="s">
        <v>10</v>
      </c>
      <c r="M74" s="12" t="s">
        <v>7</v>
      </c>
      <c r="N74" s="150">
        <v>2500</v>
      </c>
      <c r="O74" s="6">
        <v>2125</v>
      </c>
      <c r="P74" s="35">
        <f t="shared" si="3"/>
        <v>5.3125</v>
      </c>
      <c r="Q74" s="25"/>
      <c r="R74" s="12"/>
      <c r="S74" s="13">
        <v>6.8</v>
      </c>
      <c r="T74" s="12">
        <v>2.6</v>
      </c>
      <c r="U74" s="11">
        <f>S74*T74-P74-Q74-X74-Y74</f>
        <v>12.3675</v>
      </c>
      <c r="V74" s="12"/>
      <c r="W74" s="12"/>
      <c r="X74" s="13"/>
      <c r="Y74" s="13"/>
    </row>
    <row r="75" spans="1:25" ht="30" x14ac:dyDescent="0.25">
      <c r="A75" s="1" t="s">
        <v>139</v>
      </c>
      <c r="B75" s="1" t="s">
        <v>278</v>
      </c>
      <c r="C75" s="44" t="s">
        <v>973</v>
      </c>
      <c r="D75" s="44" t="s">
        <v>101</v>
      </c>
      <c r="E75" s="46">
        <v>3</v>
      </c>
      <c r="F75" s="1" t="s">
        <v>4</v>
      </c>
      <c r="G75" s="22" t="s">
        <v>77</v>
      </c>
      <c r="H75" s="180" t="s">
        <v>738</v>
      </c>
      <c r="I75" s="5"/>
      <c r="J75" s="6" t="s">
        <v>194</v>
      </c>
      <c r="K75" s="21" t="s">
        <v>1993</v>
      </c>
      <c r="L75" s="95" t="s">
        <v>81</v>
      </c>
      <c r="M75" s="12" t="s">
        <v>7</v>
      </c>
      <c r="N75" s="150">
        <v>750</v>
      </c>
      <c r="O75" s="6">
        <v>2125</v>
      </c>
      <c r="P75" s="35">
        <f t="shared" si="3"/>
        <v>1.59375</v>
      </c>
      <c r="Q75" s="25"/>
      <c r="R75" s="12"/>
      <c r="S75" s="13">
        <v>6.9</v>
      </c>
      <c r="T75" s="12">
        <v>2.6</v>
      </c>
      <c r="U75" s="25"/>
      <c r="V75" s="12"/>
      <c r="W75" s="12"/>
      <c r="X75" s="47">
        <f>S75*T75-P75-Q75-Y75</f>
        <v>16.346250000000001</v>
      </c>
      <c r="Y75" s="13"/>
    </row>
    <row r="76" spans="1:25" ht="30" x14ac:dyDescent="0.25">
      <c r="A76" s="139" t="s">
        <v>139</v>
      </c>
      <c r="B76" s="139" t="s">
        <v>228</v>
      </c>
      <c r="C76" s="177" t="s">
        <v>974</v>
      </c>
      <c r="D76" s="177" t="s">
        <v>55</v>
      </c>
      <c r="E76" s="194">
        <v>32.5</v>
      </c>
      <c r="F76" s="139" t="s">
        <v>4</v>
      </c>
      <c r="G76" s="22" t="s">
        <v>77</v>
      </c>
      <c r="H76" s="180" t="s">
        <v>738</v>
      </c>
      <c r="I76" s="5"/>
      <c r="J76" s="6" t="s">
        <v>194</v>
      </c>
      <c r="K76" s="21" t="s">
        <v>1993</v>
      </c>
      <c r="L76" s="95" t="s">
        <v>6</v>
      </c>
      <c r="M76" s="12" t="s">
        <v>7</v>
      </c>
      <c r="N76" s="150">
        <v>9150</v>
      </c>
      <c r="O76" s="6">
        <v>2125</v>
      </c>
      <c r="P76" s="35">
        <f t="shared" si="3"/>
        <v>19.443749999999998</v>
      </c>
      <c r="Q76" s="25"/>
      <c r="R76" s="12"/>
      <c r="S76" s="13">
        <v>30.39</v>
      </c>
      <c r="T76" s="24">
        <v>3</v>
      </c>
      <c r="U76" s="11">
        <f>S76*T76-P76-Q76-X76-Y76</f>
        <v>70.146250000000009</v>
      </c>
      <c r="V76" s="12"/>
      <c r="W76" s="12"/>
      <c r="X76" s="13"/>
      <c r="Y76" s="13">
        <v>1.58</v>
      </c>
    </row>
    <row r="77" spans="1:25" ht="30" x14ac:dyDescent="0.25">
      <c r="A77" s="139" t="s">
        <v>139</v>
      </c>
      <c r="B77" s="139" t="s">
        <v>228</v>
      </c>
      <c r="C77" s="177" t="s">
        <v>975</v>
      </c>
      <c r="D77" s="177" t="s">
        <v>976</v>
      </c>
      <c r="E77" s="194">
        <v>13.7</v>
      </c>
      <c r="F77" s="139" t="s">
        <v>4</v>
      </c>
      <c r="G77" s="22" t="s">
        <v>77</v>
      </c>
      <c r="H77" s="180" t="s">
        <v>738</v>
      </c>
      <c r="I77" s="5"/>
      <c r="J77" s="6" t="s">
        <v>194</v>
      </c>
      <c r="K77" s="21" t="s">
        <v>1993</v>
      </c>
      <c r="L77" s="84" t="s">
        <v>10</v>
      </c>
      <c r="M77" s="12" t="s">
        <v>7</v>
      </c>
      <c r="N77" s="150">
        <v>875</v>
      </c>
      <c r="O77" s="6">
        <v>2125</v>
      </c>
      <c r="P77" s="35">
        <f t="shared" si="3"/>
        <v>1.859375</v>
      </c>
      <c r="Q77" s="25">
        <v>3.57</v>
      </c>
      <c r="R77" s="12">
        <v>1.18</v>
      </c>
      <c r="S77" s="13">
        <v>14.8</v>
      </c>
      <c r="T77" s="24">
        <v>3</v>
      </c>
      <c r="U77" s="11">
        <f>S77*T77-P77-Q77-X77-Y77</f>
        <v>38.970625000000005</v>
      </c>
      <c r="V77" s="12"/>
      <c r="W77" s="12"/>
      <c r="X77" s="13"/>
      <c r="Y77" s="13"/>
    </row>
    <row r="78" spans="1:25" ht="30" x14ac:dyDescent="0.25">
      <c r="A78" s="139" t="s">
        <v>139</v>
      </c>
      <c r="B78" s="139" t="s">
        <v>228</v>
      </c>
      <c r="C78" s="177" t="s">
        <v>977</v>
      </c>
      <c r="D78" s="177" t="s">
        <v>539</v>
      </c>
      <c r="E78" s="194">
        <v>10.1</v>
      </c>
      <c r="F78" s="139" t="s">
        <v>4</v>
      </c>
      <c r="G78" s="22" t="s">
        <v>77</v>
      </c>
      <c r="H78" s="180" t="s">
        <v>738</v>
      </c>
      <c r="I78" s="5"/>
      <c r="J78" s="6" t="s">
        <v>194</v>
      </c>
      <c r="K78" s="21" t="s">
        <v>1993</v>
      </c>
      <c r="L78" s="95" t="s">
        <v>10</v>
      </c>
      <c r="M78" s="12" t="s">
        <v>7</v>
      </c>
      <c r="N78" s="150">
        <v>1625</v>
      </c>
      <c r="O78" s="6">
        <v>2125</v>
      </c>
      <c r="P78" s="35">
        <f t="shared" si="3"/>
        <v>3.453125</v>
      </c>
      <c r="Q78" s="25"/>
      <c r="R78" s="12"/>
      <c r="S78" s="13">
        <v>12.8</v>
      </c>
      <c r="T78" s="24">
        <v>3</v>
      </c>
      <c r="U78" s="11">
        <f>S78*T78-P78-Q78-X78-Y78</f>
        <v>34.946875000000006</v>
      </c>
      <c r="V78" s="12"/>
      <c r="W78" s="12"/>
      <c r="X78" s="13"/>
      <c r="Y78" s="13"/>
    </row>
    <row r="79" spans="1:25" ht="30" x14ac:dyDescent="0.25">
      <c r="A79" s="139" t="s">
        <v>139</v>
      </c>
      <c r="B79" s="139" t="s">
        <v>228</v>
      </c>
      <c r="C79" s="177" t="s">
        <v>978</v>
      </c>
      <c r="D79" s="177" t="s">
        <v>685</v>
      </c>
      <c r="E79" s="194">
        <v>2.1</v>
      </c>
      <c r="F79" s="139" t="s">
        <v>4</v>
      </c>
      <c r="G79" s="22" t="s">
        <v>77</v>
      </c>
      <c r="H79" s="180" t="s">
        <v>738</v>
      </c>
      <c r="I79" s="5"/>
      <c r="J79" s="6" t="s">
        <v>194</v>
      </c>
      <c r="K79" s="21" t="s">
        <v>1993</v>
      </c>
      <c r="L79" s="84" t="s">
        <v>6</v>
      </c>
      <c r="M79" s="12" t="s">
        <v>7</v>
      </c>
      <c r="N79" s="150">
        <v>750</v>
      </c>
      <c r="O79" s="6">
        <v>2125</v>
      </c>
      <c r="P79" s="35">
        <f t="shared" si="3"/>
        <v>1.59375</v>
      </c>
      <c r="Q79" s="25"/>
      <c r="R79" s="12"/>
      <c r="S79" s="13">
        <v>5.88</v>
      </c>
      <c r="T79" s="24">
        <v>2.6</v>
      </c>
      <c r="U79" s="25"/>
      <c r="V79" s="12"/>
      <c r="W79" s="12"/>
      <c r="X79" s="47">
        <f>S79*T79-P79-Q79-Y79</f>
        <v>13.69425</v>
      </c>
      <c r="Y79" s="13"/>
    </row>
    <row r="80" spans="1:25" ht="30" x14ac:dyDescent="0.25">
      <c r="A80" s="139" t="s">
        <v>139</v>
      </c>
      <c r="B80" s="139" t="s">
        <v>228</v>
      </c>
      <c r="C80" s="177" t="s">
        <v>979</v>
      </c>
      <c r="D80" s="177" t="s">
        <v>222</v>
      </c>
      <c r="E80" s="194">
        <v>16.399999999999999</v>
      </c>
      <c r="F80" s="139" t="s">
        <v>4</v>
      </c>
      <c r="G80" s="22" t="s">
        <v>77</v>
      </c>
      <c r="H80" s="180" t="s">
        <v>738</v>
      </c>
      <c r="I80" s="5"/>
      <c r="J80" s="6" t="s">
        <v>194</v>
      </c>
      <c r="K80" s="21" t="s">
        <v>1993</v>
      </c>
      <c r="L80" s="95" t="s">
        <v>10</v>
      </c>
      <c r="M80" s="179" t="s">
        <v>7</v>
      </c>
      <c r="N80" s="150">
        <v>1625</v>
      </c>
      <c r="O80" s="6">
        <v>2125</v>
      </c>
      <c r="P80" s="35">
        <f t="shared" si="3"/>
        <v>3.453125</v>
      </c>
      <c r="Q80" s="25">
        <v>6.24</v>
      </c>
      <c r="R80" s="12">
        <v>1.18</v>
      </c>
      <c r="S80" s="13">
        <v>16.5</v>
      </c>
      <c r="T80" s="24">
        <v>3</v>
      </c>
      <c r="U80" s="11">
        <f>S80*T80-P80-Q80-X80-Y80</f>
        <v>39.806874999999998</v>
      </c>
      <c r="V80" s="12"/>
      <c r="W80" s="12"/>
      <c r="X80" s="13"/>
      <c r="Y80" s="13"/>
    </row>
    <row r="81" spans="1:25" ht="30" x14ac:dyDescent="0.25">
      <c r="A81" s="139" t="s">
        <v>139</v>
      </c>
      <c r="B81" s="139" t="s">
        <v>228</v>
      </c>
      <c r="C81" s="177" t="s">
        <v>980</v>
      </c>
      <c r="D81" s="177" t="s">
        <v>685</v>
      </c>
      <c r="E81" s="194">
        <v>2.1</v>
      </c>
      <c r="F81" s="139" t="s">
        <v>4</v>
      </c>
      <c r="G81" s="22" t="s">
        <v>77</v>
      </c>
      <c r="H81" s="180" t="s">
        <v>738</v>
      </c>
      <c r="I81" s="5"/>
      <c r="J81" s="6" t="s">
        <v>194</v>
      </c>
      <c r="K81" s="21" t="s">
        <v>1993</v>
      </c>
      <c r="L81" s="84" t="s">
        <v>6</v>
      </c>
      <c r="M81" s="12" t="s">
        <v>7</v>
      </c>
      <c r="N81" s="150">
        <v>750</v>
      </c>
      <c r="O81" s="6">
        <v>2125</v>
      </c>
      <c r="P81" s="35">
        <f t="shared" si="3"/>
        <v>1.59375</v>
      </c>
      <c r="Q81" s="25"/>
      <c r="R81" s="12"/>
      <c r="S81" s="13">
        <v>5.87</v>
      </c>
      <c r="T81" s="24">
        <v>2.6</v>
      </c>
      <c r="U81" s="25"/>
      <c r="V81" s="12"/>
      <c r="W81" s="12"/>
      <c r="X81" s="47">
        <f>S81*T81-P81-Q81-Y81</f>
        <v>13.66825</v>
      </c>
      <c r="Y81" s="13"/>
    </row>
    <row r="82" spans="1:25" ht="30" x14ac:dyDescent="0.25">
      <c r="A82" s="139" t="s">
        <v>139</v>
      </c>
      <c r="B82" s="139" t="s">
        <v>228</v>
      </c>
      <c r="C82" s="177" t="s">
        <v>981</v>
      </c>
      <c r="D82" s="177" t="s">
        <v>100</v>
      </c>
      <c r="E82" s="194">
        <v>15.7</v>
      </c>
      <c r="F82" s="139" t="s">
        <v>4</v>
      </c>
      <c r="G82" s="22" t="s">
        <v>77</v>
      </c>
      <c r="H82" s="180" t="s">
        <v>738</v>
      </c>
      <c r="I82" s="5"/>
      <c r="J82" s="6" t="s">
        <v>194</v>
      </c>
      <c r="K82" s="21" t="s">
        <v>1993</v>
      </c>
      <c r="L82" s="95" t="s">
        <v>10</v>
      </c>
      <c r="M82" s="12" t="s">
        <v>7</v>
      </c>
      <c r="N82" s="150">
        <v>875</v>
      </c>
      <c r="O82" s="6">
        <v>2125</v>
      </c>
      <c r="P82" s="35">
        <f t="shared" si="3"/>
        <v>1.859375</v>
      </c>
      <c r="Q82" s="25">
        <v>3.45</v>
      </c>
      <c r="R82" s="12">
        <v>2.25</v>
      </c>
      <c r="S82" s="13">
        <v>16.149999999999999</v>
      </c>
      <c r="T82" s="24">
        <v>3</v>
      </c>
      <c r="U82" s="11">
        <f>S82*T82-P82-Q82-X82-Y82</f>
        <v>43.140624999999993</v>
      </c>
      <c r="V82" s="12"/>
      <c r="W82" s="12"/>
      <c r="X82" s="13"/>
      <c r="Y82" s="13"/>
    </row>
    <row r="83" spans="1:25" ht="30" x14ac:dyDescent="0.25">
      <c r="A83" s="139" t="s">
        <v>139</v>
      </c>
      <c r="B83" s="139" t="s">
        <v>228</v>
      </c>
      <c r="C83" s="177" t="s">
        <v>982</v>
      </c>
      <c r="D83" s="177" t="s">
        <v>3</v>
      </c>
      <c r="E83" s="194">
        <v>1.3</v>
      </c>
      <c r="F83" s="139" t="s">
        <v>4</v>
      </c>
      <c r="G83" s="22" t="s">
        <v>77</v>
      </c>
      <c r="H83" s="180" t="s">
        <v>738</v>
      </c>
      <c r="I83" s="5"/>
      <c r="J83" s="6" t="s">
        <v>194</v>
      </c>
      <c r="K83" s="21" t="s">
        <v>1993</v>
      </c>
      <c r="L83" s="84" t="s">
        <v>6</v>
      </c>
      <c r="M83" s="12" t="s">
        <v>7</v>
      </c>
      <c r="N83" s="150">
        <v>2250</v>
      </c>
      <c r="O83" s="6">
        <v>2125</v>
      </c>
      <c r="P83" s="35">
        <f t="shared" si="3"/>
        <v>4.78125</v>
      </c>
      <c r="Q83" s="25"/>
      <c r="R83" s="12"/>
      <c r="S83" s="13">
        <v>4.5999999999999996</v>
      </c>
      <c r="T83" s="24">
        <v>2.6</v>
      </c>
      <c r="U83" s="25"/>
      <c r="V83" s="12"/>
      <c r="W83" s="12"/>
      <c r="X83" s="47">
        <f>S83*T83-P83-Q83-Y83</f>
        <v>7.1787499999999991</v>
      </c>
      <c r="Y83" s="13"/>
    </row>
    <row r="84" spans="1:25" ht="30" x14ac:dyDescent="0.25">
      <c r="A84" s="139" t="s">
        <v>139</v>
      </c>
      <c r="B84" s="139" t="s">
        <v>228</v>
      </c>
      <c r="C84" s="177" t="s">
        <v>983</v>
      </c>
      <c r="D84" s="177" t="s">
        <v>65</v>
      </c>
      <c r="E84" s="194">
        <v>1.2</v>
      </c>
      <c r="F84" s="139" t="s">
        <v>4</v>
      </c>
      <c r="G84" s="22" t="s">
        <v>77</v>
      </c>
      <c r="H84" s="180" t="s">
        <v>738</v>
      </c>
      <c r="I84" s="5"/>
      <c r="J84" s="6" t="s">
        <v>194</v>
      </c>
      <c r="K84" s="21" t="s">
        <v>1993</v>
      </c>
      <c r="L84" s="95" t="s">
        <v>6</v>
      </c>
      <c r="M84" s="12" t="s">
        <v>7</v>
      </c>
      <c r="N84" s="150">
        <v>750</v>
      </c>
      <c r="O84" s="6">
        <v>2125</v>
      </c>
      <c r="P84" s="35">
        <f t="shared" si="3"/>
        <v>1.59375</v>
      </c>
      <c r="Q84" s="25"/>
      <c r="R84" s="12"/>
      <c r="S84" s="13">
        <v>4.26</v>
      </c>
      <c r="T84" s="24">
        <v>2.6</v>
      </c>
      <c r="U84" s="25"/>
      <c r="V84" s="12"/>
      <c r="W84" s="12"/>
      <c r="X84" s="47">
        <f>S84*T84-P84-Q84-Y84</f>
        <v>9.4822500000000005</v>
      </c>
      <c r="Y84" s="13"/>
    </row>
    <row r="85" spans="1:25" ht="30" x14ac:dyDescent="0.25">
      <c r="A85" s="139" t="s">
        <v>139</v>
      </c>
      <c r="B85" s="139" t="s">
        <v>228</v>
      </c>
      <c r="C85" s="177" t="s">
        <v>984</v>
      </c>
      <c r="D85" s="177" t="s">
        <v>65</v>
      </c>
      <c r="E85" s="194">
        <v>1.2</v>
      </c>
      <c r="F85" s="139" t="s">
        <v>4</v>
      </c>
      <c r="G85" s="22" t="s">
        <v>77</v>
      </c>
      <c r="H85" s="180" t="s">
        <v>738</v>
      </c>
      <c r="I85" s="5"/>
      <c r="J85" s="6" t="s">
        <v>194</v>
      </c>
      <c r="K85" s="21" t="s">
        <v>1993</v>
      </c>
      <c r="L85" s="84" t="s">
        <v>6</v>
      </c>
      <c r="M85" s="12" t="s">
        <v>7</v>
      </c>
      <c r="N85" s="150">
        <v>750</v>
      </c>
      <c r="O85" s="6">
        <v>2125</v>
      </c>
      <c r="P85" s="35">
        <f t="shared" si="3"/>
        <v>1.59375</v>
      </c>
      <c r="Q85" s="25"/>
      <c r="R85" s="12"/>
      <c r="S85" s="13">
        <v>4.25</v>
      </c>
      <c r="T85" s="24">
        <v>2.6</v>
      </c>
      <c r="U85" s="25"/>
      <c r="V85" s="12"/>
      <c r="W85" s="12"/>
      <c r="X85" s="47">
        <f>S85*T85-P85-Q85-Y85</f>
        <v>9.4562500000000007</v>
      </c>
      <c r="Y85" s="13"/>
    </row>
    <row r="86" spans="1:25" ht="30" x14ac:dyDescent="0.25">
      <c r="A86" s="139" t="s">
        <v>139</v>
      </c>
      <c r="B86" s="139" t="s">
        <v>228</v>
      </c>
      <c r="C86" s="177" t="s">
        <v>985</v>
      </c>
      <c r="D86" s="177" t="s">
        <v>986</v>
      </c>
      <c r="E86" s="194">
        <v>17.3</v>
      </c>
      <c r="F86" s="139" t="s">
        <v>4</v>
      </c>
      <c r="G86" s="22" t="s">
        <v>77</v>
      </c>
      <c r="H86" s="180" t="s">
        <v>738</v>
      </c>
      <c r="I86" s="5"/>
      <c r="J86" s="6" t="s">
        <v>194</v>
      </c>
      <c r="K86" s="21" t="s">
        <v>1993</v>
      </c>
      <c r="L86" s="95" t="s">
        <v>10</v>
      </c>
      <c r="M86" s="12" t="s">
        <v>7</v>
      </c>
      <c r="N86" s="150">
        <v>2750</v>
      </c>
      <c r="O86" s="6">
        <v>2125</v>
      </c>
      <c r="P86" s="35">
        <f t="shared" si="3"/>
        <v>5.84375</v>
      </c>
      <c r="Q86" s="25">
        <v>3.45</v>
      </c>
      <c r="R86" s="12">
        <v>1.1299999999999999</v>
      </c>
      <c r="S86" s="13">
        <v>17.7</v>
      </c>
      <c r="T86" s="24">
        <v>3</v>
      </c>
      <c r="U86" s="11">
        <f>S86*T86-P86-Q86-X86-Y86</f>
        <v>42.306249999999991</v>
      </c>
      <c r="V86" s="12"/>
      <c r="W86" s="12"/>
      <c r="X86" s="13">
        <v>1.5</v>
      </c>
      <c r="Y86" s="13"/>
    </row>
    <row r="87" spans="1:25" ht="30" x14ac:dyDescent="0.25">
      <c r="A87" s="139" t="s">
        <v>139</v>
      </c>
      <c r="B87" s="139" t="s">
        <v>228</v>
      </c>
      <c r="C87" s="177" t="s">
        <v>987</v>
      </c>
      <c r="D87" s="177" t="s">
        <v>3</v>
      </c>
      <c r="E87" s="194">
        <v>4.0999999999999996</v>
      </c>
      <c r="F87" s="139" t="s">
        <v>4</v>
      </c>
      <c r="G87" s="22" t="s">
        <v>77</v>
      </c>
      <c r="H87" s="180" t="s">
        <v>738</v>
      </c>
      <c r="I87" s="5"/>
      <c r="J87" s="6" t="s">
        <v>194</v>
      </c>
      <c r="K87" s="21" t="s">
        <v>1993</v>
      </c>
      <c r="L87" s="84" t="s">
        <v>6</v>
      </c>
      <c r="M87" s="12" t="s">
        <v>7</v>
      </c>
      <c r="N87" s="150">
        <v>3000</v>
      </c>
      <c r="O87" s="6">
        <v>2125</v>
      </c>
      <c r="P87" s="35">
        <f t="shared" si="3"/>
        <v>6.375</v>
      </c>
      <c r="Q87" s="25"/>
      <c r="R87" s="12"/>
      <c r="S87" s="13">
        <v>8.6</v>
      </c>
      <c r="T87" s="24">
        <v>2.6</v>
      </c>
      <c r="U87" s="25"/>
      <c r="V87" s="12"/>
      <c r="W87" s="12"/>
      <c r="X87" s="47">
        <f>S87*T87-P87-Q87-Y87</f>
        <v>15.984999999999999</v>
      </c>
      <c r="Y87" s="13"/>
    </row>
    <row r="88" spans="1:25" ht="30" x14ac:dyDescent="0.25">
      <c r="A88" s="139" t="s">
        <v>139</v>
      </c>
      <c r="B88" s="139" t="s">
        <v>228</v>
      </c>
      <c r="C88" s="177" t="s">
        <v>988</v>
      </c>
      <c r="D88" s="177" t="s">
        <v>65</v>
      </c>
      <c r="E88" s="194">
        <v>1.2</v>
      </c>
      <c r="F88" s="139" t="s">
        <v>4</v>
      </c>
      <c r="G88" s="22" t="s">
        <v>77</v>
      </c>
      <c r="H88" s="180" t="s">
        <v>738</v>
      </c>
      <c r="I88" s="5"/>
      <c r="J88" s="6" t="s">
        <v>194</v>
      </c>
      <c r="K88" s="21" t="s">
        <v>1993</v>
      </c>
      <c r="L88" s="95" t="s">
        <v>6</v>
      </c>
      <c r="M88" s="12" t="s">
        <v>7</v>
      </c>
      <c r="N88" s="150">
        <v>750</v>
      </c>
      <c r="O88" s="6">
        <v>2125</v>
      </c>
      <c r="P88" s="35">
        <f t="shared" si="3"/>
        <v>1.59375</v>
      </c>
      <c r="Q88" s="25"/>
      <c r="R88" s="12"/>
      <c r="S88" s="13">
        <v>4.25</v>
      </c>
      <c r="T88" s="24">
        <v>2.6</v>
      </c>
      <c r="U88" s="25"/>
      <c r="V88" s="12"/>
      <c r="W88" s="12"/>
      <c r="X88" s="47">
        <f>S88*T88-P88-Q88-Y88</f>
        <v>9.4562500000000007</v>
      </c>
      <c r="Y88" s="13"/>
    </row>
    <row r="89" spans="1:25" ht="30" x14ac:dyDescent="0.25">
      <c r="A89" s="139" t="s">
        <v>139</v>
      </c>
      <c r="B89" s="139" t="s">
        <v>228</v>
      </c>
      <c r="C89" s="177" t="s">
        <v>989</v>
      </c>
      <c r="D89" s="177" t="s">
        <v>65</v>
      </c>
      <c r="E89" s="194">
        <v>1.2</v>
      </c>
      <c r="F89" s="139" t="s">
        <v>4</v>
      </c>
      <c r="G89" s="22" t="s">
        <v>77</v>
      </c>
      <c r="H89" s="180" t="s">
        <v>738</v>
      </c>
      <c r="I89" s="5"/>
      <c r="J89" s="6" t="s">
        <v>194</v>
      </c>
      <c r="K89" s="21" t="s">
        <v>1993</v>
      </c>
      <c r="L89" s="84" t="s">
        <v>6</v>
      </c>
      <c r="M89" s="179" t="s">
        <v>7</v>
      </c>
      <c r="N89" s="150">
        <v>750</v>
      </c>
      <c r="O89" s="6">
        <v>2125</v>
      </c>
      <c r="P89" s="35">
        <f t="shared" si="3"/>
        <v>1.59375</v>
      </c>
      <c r="Q89" s="25"/>
      <c r="R89" s="12"/>
      <c r="S89" s="13">
        <v>4.1500000000000004</v>
      </c>
      <c r="T89" s="24">
        <v>2.6</v>
      </c>
      <c r="U89" s="25"/>
      <c r="V89" s="12"/>
      <c r="W89" s="12"/>
      <c r="X89" s="47">
        <f>S89*T89-P89-Q89-Y89</f>
        <v>9.1962500000000009</v>
      </c>
      <c r="Y89" s="13"/>
    </row>
    <row r="90" spans="1:25" ht="30" x14ac:dyDescent="0.25">
      <c r="A90" s="139" t="s">
        <v>139</v>
      </c>
      <c r="B90" s="139" t="s">
        <v>228</v>
      </c>
      <c r="C90" s="177" t="s">
        <v>990</v>
      </c>
      <c r="D90" s="177" t="s">
        <v>685</v>
      </c>
      <c r="E90" s="194">
        <v>1.2</v>
      </c>
      <c r="F90" s="139" t="s">
        <v>4</v>
      </c>
      <c r="G90" s="22" t="s">
        <v>77</v>
      </c>
      <c r="H90" s="180" t="s">
        <v>738</v>
      </c>
      <c r="I90" s="5"/>
      <c r="J90" s="6" t="s">
        <v>194</v>
      </c>
      <c r="K90" s="21" t="s">
        <v>1993</v>
      </c>
      <c r="L90" s="95" t="s">
        <v>81</v>
      </c>
      <c r="M90" s="12" t="s">
        <v>7</v>
      </c>
      <c r="N90" s="150">
        <v>750</v>
      </c>
      <c r="O90" s="6">
        <v>2125</v>
      </c>
      <c r="P90" s="35">
        <f t="shared" si="3"/>
        <v>1.59375</v>
      </c>
      <c r="Q90" s="25"/>
      <c r="R90" s="12"/>
      <c r="S90" s="13">
        <v>4.55</v>
      </c>
      <c r="T90" s="24">
        <v>2.6</v>
      </c>
      <c r="U90" s="25"/>
      <c r="V90" s="12"/>
      <c r="W90" s="12"/>
      <c r="X90" s="47">
        <f>S90*T90-P90-Q90-Y90</f>
        <v>10.23625</v>
      </c>
      <c r="Y90" s="13"/>
    </row>
    <row r="91" spans="1:25" ht="30" x14ac:dyDescent="0.25">
      <c r="A91" s="139" t="s">
        <v>139</v>
      </c>
      <c r="B91" s="139" t="s">
        <v>228</v>
      </c>
      <c r="C91" s="177" t="s">
        <v>991</v>
      </c>
      <c r="D91" s="177" t="s">
        <v>221</v>
      </c>
      <c r="E91" s="194">
        <v>11.8</v>
      </c>
      <c r="F91" s="139" t="s">
        <v>4</v>
      </c>
      <c r="G91" s="22" t="s">
        <v>77</v>
      </c>
      <c r="H91" s="180" t="s">
        <v>738</v>
      </c>
      <c r="I91" s="5"/>
      <c r="J91" s="6" t="s">
        <v>194</v>
      </c>
      <c r="K91" s="21" t="s">
        <v>1993</v>
      </c>
      <c r="L91" s="84" t="s">
        <v>81</v>
      </c>
      <c r="M91" s="12" t="s">
        <v>7</v>
      </c>
      <c r="N91" s="150">
        <v>875</v>
      </c>
      <c r="O91" s="6">
        <v>2125</v>
      </c>
      <c r="P91" s="35">
        <f t="shared" si="3"/>
        <v>1.859375</v>
      </c>
      <c r="Q91" s="25">
        <v>3.45</v>
      </c>
      <c r="R91" s="12">
        <v>1.1299999999999999</v>
      </c>
      <c r="S91" s="13">
        <v>14</v>
      </c>
      <c r="T91" s="24">
        <v>3</v>
      </c>
      <c r="U91" s="11">
        <f>S91*T91-P91-Q91-X91-Y91</f>
        <v>36.690624999999997</v>
      </c>
      <c r="V91" s="12"/>
      <c r="W91" s="12"/>
      <c r="X91" s="13"/>
      <c r="Y91" s="13"/>
    </row>
    <row r="92" spans="1:25" ht="30" x14ac:dyDescent="0.25">
      <c r="A92" s="139" t="s">
        <v>139</v>
      </c>
      <c r="B92" s="139" t="s">
        <v>228</v>
      </c>
      <c r="C92" s="177" t="s">
        <v>992</v>
      </c>
      <c r="D92" s="177" t="s">
        <v>677</v>
      </c>
      <c r="E92" s="194">
        <v>9.1</v>
      </c>
      <c r="F92" s="139" t="s">
        <v>4</v>
      </c>
      <c r="G92" s="22" t="s">
        <v>77</v>
      </c>
      <c r="H92" s="180" t="s">
        <v>738</v>
      </c>
      <c r="I92" s="5"/>
      <c r="J92" s="6" t="s">
        <v>194</v>
      </c>
      <c r="K92" s="21" t="s">
        <v>1993</v>
      </c>
      <c r="L92" s="84" t="s">
        <v>10</v>
      </c>
      <c r="M92" s="12" t="s">
        <v>7</v>
      </c>
      <c r="N92" s="150">
        <v>1625</v>
      </c>
      <c r="O92" s="6">
        <v>2125</v>
      </c>
      <c r="P92" s="35">
        <f t="shared" si="3"/>
        <v>3.453125</v>
      </c>
      <c r="Q92" s="25">
        <v>3.45</v>
      </c>
      <c r="R92" s="12">
        <v>2.25</v>
      </c>
      <c r="S92" s="13">
        <v>14.15</v>
      </c>
      <c r="T92" s="24">
        <v>3</v>
      </c>
      <c r="U92" s="11">
        <f>S92*T92-P92-Q92-X92-Y92</f>
        <v>35.546875</v>
      </c>
      <c r="V92" s="12"/>
      <c r="W92" s="12"/>
      <c r="X92" s="13"/>
      <c r="Y92" s="13"/>
    </row>
    <row r="93" spans="1:25" ht="30" x14ac:dyDescent="0.25">
      <c r="A93" s="139" t="s">
        <v>139</v>
      </c>
      <c r="B93" s="139" t="s">
        <v>228</v>
      </c>
      <c r="C93" s="177" t="s">
        <v>993</v>
      </c>
      <c r="D93" s="177" t="s">
        <v>685</v>
      </c>
      <c r="E93" s="194">
        <v>2.7</v>
      </c>
      <c r="F93" s="139" t="s">
        <v>4</v>
      </c>
      <c r="G93" s="22" t="s">
        <v>77</v>
      </c>
      <c r="H93" s="180" t="s">
        <v>738</v>
      </c>
      <c r="I93" s="5"/>
      <c r="J93" s="6" t="s">
        <v>194</v>
      </c>
      <c r="K93" s="21" t="s">
        <v>1993</v>
      </c>
      <c r="L93" s="84" t="s">
        <v>81</v>
      </c>
      <c r="M93" s="12" t="s">
        <v>7</v>
      </c>
      <c r="N93" s="150">
        <v>750</v>
      </c>
      <c r="O93" s="6">
        <v>2125</v>
      </c>
      <c r="P93" s="35">
        <f t="shared" si="3"/>
        <v>1.59375</v>
      </c>
      <c r="Q93" s="25"/>
      <c r="R93" s="12"/>
      <c r="S93" s="13">
        <v>6.6</v>
      </c>
      <c r="T93" s="24">
        <v>2.6</v>
      </c>
      <c r="U93" s="25"/>
      <c r="V93" s="12"/>
      <c r="W93" s="12"/>
      <c r="X93" s="47">
        <f>S93*T93-P93-Q93-Y93</f>
        <v>15.56625</v>
      </c>
      <c r="Y93" s="13"/>
    </row>
    <row r="94" spans="1:25" ht="30" x14ac:dyDescent="0.25">
      <c r="A94" s="139" t="s">
        <v>139</v>
      </c>
      <c r="B94" s="139" t="s">
        <v>228</v>
      </c>
      <c r="C94" s="177" t="s">
        <v>994</v>
      </c>
      <c r="D94" s="177" t="s">
        <v>677</v>
      </c>
      <c r="E94" s="194">
        <v>9.1</v>
      </c>
      <c r="F94" s="139" t="s">
        <v>4</v>
      </c>
      <c r="G94" s="22" t="s">
        <v>77</v>
      </c>
      <c r="H94" s="180" t="s">
        <v>738</v>
      </c>
      <c r="I94" s="5"/>
      <c r="J94" s="6" t="s">
        <v>194</v>
      </c>
      <c r="K94" s="21" t="s">
        <v>1993</v>
      </c>
      <c r="L94" s="84" t="s">
        <v>10</v>
      </c>
      <c r="M94" s="12" t="s">
        <v>7</v>
      </c>
      <c r="N94" s="150">
        <v>1625</v>
      </c>
      <c r="O94" s="6">
        <v>2125</v>
      </c>
      <c r="P94" s="35">
        <f t="shared" si="3"/>
        <v>3.453125</v>
      </c>
      <c r="Q94" s="25">
        <v>3.45</v>
      </c>
      <c r="R94" s="12">
        <v>1.1299999999999999</v>
      </c>
      <c r="S94" s="13">
        <v>14.15</v>
      </c>
      <c r="T94" s="24">
        <v>3</v>
      </c>
      <c r="U94" s="11">
        <f>S94*T94-P94-Q94-X94-Y94</f>
        <v>35.546875</v>
      </c>
      <c r="V94" s="12"/>
      <c r="W94" s="12"/>
      <c r="X94" s="13"/>
      <c r="Y94" s="13"/>
    </row>
    <row r="95" spans="1:25" ht="30" x14ac:dyDescent="0.25">
      <c r="A95" s="139" t="s">
        <v>139</v>
      </c>
      <c r="B95" s="139" t="s">
        <v>228</v>
      </c>
      <c r="C95" s="177" t="s">
        <v>995</v>
      </c>
      <c r="D95" s="177" t="s">
        <v>685</v>
      </c>
      <c r="E95" s="194">
        <v>2.7</v>
      </c>
      <c r="F95" s="139" t="s">
        <v>4</v>
      </c>
      <c r="G95" s="22" t="s">
        <v>77</v>
      </c>
      <c r="H95" s="180" t="s">
        <v>738</v>
      </c>
      <c r="I95" s="5"/>
      <c r="J95" s="6" t="s">
        <v>194</v>
      </c>
      <c r="K95" s="21" t="s">
        <v>1993</v>
      </c>
      <c r="L95" s="84" t="s">
        <v>6</v>
      </c>
      <c r="M95" s="179" t="s">
        <v>7</v>
      </c>
      <c r="N95" s="150">
        <v>750</v>
      </c>
      <c r="O95" s="6">
        <v>2125</v>
      </c>
      <c r="P95" s="35">
        <f t="shared" si="3"/>
        <v>1.59375</v>
      </c>
      <c r="Q95" s="25"/>
      <c r="R95" s="12"/>
      <c r="S95" s="13">
        <v>6.6</v>
      </c>
      <c r="T95" s="24">
        <v>2.6</v>
      </c>
      <c r="U95" s="25"/>
      <c r="V95" s="12"/>
      <c r="W95" s="12"/>
      <c r="X95" s="47">
        <f>S95*T95-P95-Q95-Y95</f>
        <v>15.56625</v>
      </c>
      <c r="Y95" s="13"/>
    </row>
    <row r="96" spans="1:25" ht="30" x14ac:dyDescent="0.25">
      <c r="A96" s="139" t="s">
        <v>139</v>
      </c>
      <c r="B96" s="139" t="s">
        <v>228</v>
      </c>
      <c r="C96" s="139" t="s">
        <v>996</v>
      </c>
      <c r="D96" s="139" t="s">
        <v>997</v>
      </c>
      <c r="E96" s="190">
        <v>24.3</v>
      </c>
      <c r="F96" s="139" t="s">
        <v>4</v>
      </c>
      <c r="G96" s="22" t="s">
        <v>77</v>
      </c>
      <c r="H96" s="180" t="s">
        <v>738</v>
      </c>
      <c r="I96" s="5"/>
      <c r="J96" s="6" t="s">
        <v>194</v>
      </c>
      <c r="K96" s="21" t="s">
        <v>1993</v>
      </c>
      <c r="L96" s="84" t="s">
        <v>10</v>
      </c>
      <c r="M96" s="12" t="s">
        <v>7</v>
      </c>
      <c r="N96" s="150">
        <v>875</v>
      </c>
      <c r="O96" s="6">
        <v>2125</v>
      </c>
      <c r="P96" s="35">
        <f t="shared" si="3"/>
        <v>1.859375</v>
      </c>
      <c r="Q96" s="25">
        <v>6.9</v>
      </c>
      <c r="R96" s="12">
        <v>1.1299999999999999</v>
      </c>
      <c r="S96" s="13">
        <v>20</v>
      </c>
      <c r="T96" s="24">
        <v>3</v>
      </c>
      <c r="U96" s="11">
        <f>S96*T96-P96-Q96-X96-Y96</f>
        <v>51.240625000000001</v>
      </c>
      <c r="V96" s="12"/>
      <c r="W96" s="12"/>
      <c r="X96" s="13"/>
      <c r="Y96" s="13"/>
    </row>
    <row r="97" spans="3:12" s="284" customFormat="1" ht="17.25" x14ac:dyDescent="0.25">
      <c r="C97" s="280" t="s">
        <v>274</v>
      </c>
      <c r="E97" s="285">
        <f>SUM(E5:E96)</f>
        <v>1265.5099999999998</v>
      </c>
      <c r="F97" s="280" t="s">
        <v>1560</v>
      </c>
      <c r="L97" s="305"/>
    </row>
    <row r="99" spans="3:12" x14ac:dyDescent="0.25">
      <c r="C99" s="278" t="s">
        <v>1807</v>
      </c>
      <c r="D99" s="342"/>
      <c r="E99" s="358"/>
      <c r="F99" s="65"/>
    </row>
    <row r="100" spans="3:12" ht="17.25" x14ac:dyDescent="0.25">
      <c r="C100" s="65"/>
      <c r="D100" s="358" t="s">
        <v>1808</v>
      </c>
      <c r="E100" s="345">
        <f>SUM(E5:E68)</f>
        <v>1032.9100000000001</v>
      </c>
      <c r="F100" s="342" t="s">
        <v>1560</v>
      </c>
    </row>
    <row r="101" spans="3:12" ht="17.25" x14ac:dyDescent="0.25">
      <c r="C101" s="65"/>
      <c r="D101" s="358" t="s">
        <v>37</v>
      </c>
      <c r="E101" s="345">
        <v>0</v>
      </c>
      <c r="F101" s="342" t="s">
        <v>1560</v>
      </c>
    </row>
    <row r="102" spans="3:12" ht="17.25" x14ac:dyDescent="0.25">
      <c r="C102" s="65"/>
      <c r="D102" s="358" t="s">
        <v>77</v>
      </c>
      <c r="E102" s="345">
        <f>SUM(E69:E96)</f>
        <v>232.59999999999991</v>
      </c>
      <c r="F102" s="342" t="s">
        <v>1560</v>
      </c>
    </row>
    <row r="103" spans="3:12" ht="17.25" x14ac:dyDescent="0.25">
      <c r="C103" s="65"/>
      <c r="D103" s="358" t="s">
        <v>229</v>
      </c>
      <c r="E103" s="345">
        <v>0</v>
      </c>
      <c r="F103" s="342" t="s">
        <v>1560</v>
      </c>
    </row>
    <row r="104" spans="3:12" ht="17.25" x14ac:dyDescent="0.25">
      <c r="C104" s="65"/>
      <c r="D104" s="359" t="s">
        <v>274</v>
      </c>
      <c r="E104" s="345">
        <f>SUM(E100:E103)</f>
        <v>1265.51</v>
      </c>
      <c r="F104" s="342" t="s">
        <v>1560</v>
      </c>
    </row>
    <row r="105" spans="3:12" x14ac:dyDescent="0.25">
      <c r="C105" s="65"/>
      <c r="D105" s="359"/>
      <c r="E105" s="345"/>
      <c r="F105" s="342"/>
    </row>
    <row r="106" spans="3:12" x14ac:dyDescent="0.25">
      <c r="C106" s="278" t="s">
        <v>1991</v>
      </c>
      <c r="D106" s="359"/>
      <c r="E106" s="345"/>
      <c r="F106" s="342"/>
    </row>
    <row r="107" spans="3:12" x14ac:dyDescent="0.25">
      <c r="C107" s="284" t="s">
        <v>1990</v>
      </c>
    </row>
    <row r="108" spans="3:12" x14ac:dyDescent="0.25">
      <c r="C108" s="504" t="s">
        <v>2043</v>
      </c>
      <c r="D108" s="305"/>
      <c r="E108" s="503" t="s">
        <v>1980</v>
      </c>
    </row>
    <row r="109" spans="3:12" x14ac:dyDescent="0.25">
      <c r="C109" s="284" t="s">
        <v>1964</v>
      </c>
      <c r="D109" s="305"/>
      <c r="E109" s="295" t="s">
        <v>1965</v>
      </c>
    </row>
    <row r="110" spans="3:12" x14ac:dyDescent="0.25">
      <c r="C110" s="284" t="s">
        <v>1992</v>
      </c>
      <c r="D110" s="305"/>
    </row>
  </sheetData>
  <sheetProtection password="87E5" sheet="1" objects="1" scenarios="1"/>
  <mergeCells count="26">
    <mergeCell ref="A1:F2"/>
    <mergeCell ref="A3:A4"/>
    <mergeCell ref="B3:B4"/>
    <mergeCell ref="C3:C4"/>
    <mergeCell ref="D3:D4"/>
    <mergeCell ref="E3:F4"/>
    <mergeCell ref="K1:K4"/>
    <mergeCell ref="L1:L4"/>
    <mergeCell ref="G1:G4"/>
    <mergeCell ref="I1:I4"/>
    <mergeCell ref="J1:J4"/>
    <mergeCell ref="H1:H4"/>
    <mergeCell ref="M1:O4"/>
    <mergeCell ref="P1:P4"/>
    <mergeCell ref="Q1:Q4"/>
    <mergeCell ref="R1:R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</mergeCells>
  <printOptions horizontalCentered="1"/>
  <pageMargins left="0.11811023622047245" right="0.11811023622047245" top="0.15748031496062992" bottom="0.35433070866141736" header="0.31496062992125984" footer="0.31496062992125984"/>
  <pageSetup paperSize="9" scale="47" fitToHeight="0" orientation="landscape" r:id="rId1"/>
  <headerFooter>
    <oddFooter>&amp;P. oldal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zoomScale="90" zoomScaleNormal="9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21" sqref="C21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15.85546875" customWidth="1"/>
    <col min="5" max="5" width="6.7109375" bestFit="1" customWidth="1"/>
    <col min="6" max="6" width="4.42578125" bestFit="1" customWidth="1"/>
    <col min="7" max="7" width="10.5703125" customWidth="1"/>
    <col min="8" max="8" width="14.7109375" customWidth="1"/>
    <col min="9" max="9" width="14" customWidth="1"/>
    <col min="10" max="10" width="13.28515625" customWidth="1"/>
    <col min="11" max="11" width="27.140625" customWidth="1"/>
    <col min="12" max="12" width="8.85546875" customWidth="1"/>
    <col min="13" max="13" width="7" customWidth="1"/>
    <col min="14" max="14" width="6" customWidth="1"/>
    <col min="15" max="15" width="5.5703125" customWidth="1"/>
    <col min="16" max="16" width="6.5703125" customWidth="1"/>
    <col min="17" max="17" width="7.140625" customWidth="1"/>
    <col min="18" max="18" width="8.28515625" customWidth="1"/>
    <col min="19" max="19" width="7.7109375" customWidth="1"/>
    <col min="20" max="20" width="6.42578125" customWidth="1"/>
    <col min="21" max="21" width="7.5703125" customWidth="1"/>
    <col min="22" max="22" width="5.7109375" customWidth="1"/>
    <col min="23" max="23" width="7" customWidth="1"/>
    <col min="24" max="24" width="8.140625" customWidth="1"/>
    <col min="25" max="25" width="9.140625" customWidth="1"/>
  </cols>
  <sheetData>
    <row r="1" spans="1:25" s="15" customFormat="1" ht="15" customHeight="1" x14ac:dyDescent="0.25">
      <c r="A1" s="642" t="s">
        <v>999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2.2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261" t="s">
        <v>129</v>
      </c>
      <c r="B4" s="262" t="s">
        <v>130</v>
      </c>
      <c r="C4" s="262" t="s">
        <v>131</v>
      </c>
      <c r="D4" s="262" t="s">
        <v>132</v>
      </c>
      <c r="E4" s="663" t="s">
        <v>133</v>
      </c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x14ac:dyDescent="0.25">
      <c r="A5" s="237" t="s">
        <v>139</v>
      </c>
      <c r="B5" s="237" t="s">
        <v>228</v>
      </c>
      <c r="C5" s="237" t="s">
        <v>1000</v>
      </c>
      <c r="D5" s="237" t="s">
        <v>1001</v>
      </c>
      <c r="E5" s="238">
        <v>18.5</v>
      </c>
      <c r="F5" s="237" t="s">
        <v>4</v>
      </c>
      <c r="G5" s="22" t="s">
        <v>5</v>
      </c>
      <c r="H5" s="180" t="s">
        <v>738</v>
      </c>
      <c r="I5" s="21">
        <v>1</v>
      </c>
      <c r="J5" s="22" t="s">
        <v>194</v>
      </c>
      <c r="K5" s="21" t="s">
        <v>2042</v>
      </c>
      <c r="L5" s="24" t="s">
        <v>10</v>
      </c>
      <c r="M5" s="24" t="s">
        <v>7</v>
      </c>
      <c r="N5" s="154">
        <v>2000</v>
      </c>
      <c r="O5" s="22">
        <v>2125</v>
      </c>
      <c r="P5" s="49">
        <f t="shared" ref="P5:P6" si="0">N5*O5*0.000001</f>
        <v>4.25</v>
      </c>
      <c r="Q5" s="25"/>
      <c r="R5" s="24"/>
      <c r="S5" s="25">
        <v>18.2</v>
      </c>
      <c r="T5" s="24">
        <v>2.9</v>
      </c>
      <c r="U5" s="11">
        <f>S5*T5-P5-Q5-X5-Y5</f>
        <v>46.529999999999994</v>
      </c>
      <c r="V5" s="24"/>
      <c r="W5" s="24"/>
      <c r="X5" s="25">
        <v>2</v>
      </c>
      <c r="Y5" s="25"/>
    </row>
    <row r="6" spans="1:25" x14ac:dyDescent="0.25">
      <c r="A6" s="144" t="s">
        <v>139</v>
      </c>
      <c r="B6" s="144" t="s">
        <v>228</v>
      </c>
      <c r="C6" s="144" t="s">
        <v>1002</v>
      </c>
      <c r="D6" s="144" t="s">
        <v>1003</v>
      </c>
      <c r="E6" s="195">
        <v>16.7</v>
      </c>
      <c r="F6" s="144" t="s">
        <v>4</v>
      </c>
      <c r="G6" s="6" t="s">
        <v>5</v>
      </c>
      <c r="H6" s="181" t="s">
        <v>738</v>
      </c>
      <c r="I6" s="5">
        <v>1</v>
      </c>
      <c r="J6" s="6" t="s">
        <v>194</v>
      </c>
      <c r="K6" s="21" t="s">
        <v>2042</v>
      </c>
      <c r="L6" s="12" t="s">
        <v>10</v>
      </c>
      <c r="M6" s="12" t="s">
        <v>7</v>
      </c>
      <c r="N6" s="150">
        <v>2000</v>
      </c>
      <c r="O6" s="22">
        <v>2125</v>
      </c>
      <c r="P6" s="49">
        <f t="shared" si="0"/>
        <v>4.25</v>
      </c>
      <c r="Q6" s="13"/>
      <c r="R6" s="12"/>
      <c r="S6" s="13">
        <v>18</v>
      </c>
      <c r="T6" s="12">
        <v>2.9</v>
      </c>
      <c r="U6" s="16">
        <f>S6*T6-P6-Q6-X6-Y6</f>
        <v>45.949999999999996</v>
      </c>
      <c r="V6" s="12"/>
      <c r="W6" s="12"/>
      <c r="X6" s="13">
        <v>2</v>
      </c>
      <c r="Y6" s="13"/>
    </row>
    <row r="7" spans="1:25" ht="17.25" x14ac:dyDescent="0.25">
      <c r="C7" s="284" t="s">
        <v>274</v>
      </c>
      <c r="D7" s="284"/>
      <c r="E7" s="285">
        <f>E5+E6</f>
        <v>35.200000000000003</v>
      </c>
      <c r="F7" s="284" t="s">
        <v>1560</v>
      </c>
    </row>
    <row r="9" spans="1:25" x14ac:dyDescent="0.25">
      <c r="C9" s="284" t="s">
        <v>2085</v>
      </c>
    </row>
    <row r="10" spans="1:25" x14ac:dyDescent="0.25">
      <c r="C10" s="278" t="s">
        <v>1807</v>
      </c>
      <c r="D10" s="342"/>
      <c r="E10" s="358"/>
      <c r="F10" s="65"/>
    </row>
    <row r="11" spans="1:25" ht="17.25" x14ac:dyDescent="0.25">
      <c r="C11" s="65"/>
      <c r="D11" s="358" t="s">
        <v>1808</v>
      </c>
      <c r="E11" s="345">
        <f>SUM(E5:E6)</f>
        <v>35.200000000000003</v>
      </c>
      <c r="F11" s="342" t="s">
        <v>1560</v>
      </c>
    </row>
    <row r="12" spans="1:25" ht="17.25" x14ac:dyDescent="0.25">
      <c r="C12" s="65"/>
      <c r="D12" s="358" t="s">
        <v>37</v>
      </c>
      <c r="E12" s="345">
        <v>0</v>
      </c>
      <c r="F12" s="342" t="s">
        <v>1560</v>
      </c>
    </row>
    <row r="13" spans="1:25" ht="17.25" x14ac:dyDescent="0.25">
      <c r="C13" s="65"/>
      <c r="D13" s="358" t="s">
        <v>77</v>
      </c>
      <c r="E13" s="345">
        <v>0</v>
      </c>
      <c r="F13" s="342" t="s">
        <v>1560</v>
      </c>
    </row>
    <row r="14" spans="1:25" ht="17.25" x14ac:dyDescent="0.25">
      <c r="C14" s="65"/>
      <c r="D14" s="358" t="s">
        <v>229</v>
      </c>
      <c r="E14" s="345">
        <v>0</v>
      </c>
      <c r="F14" s="342" t="s">
        <v>1560</v>
      </c>
    </row>
    <row r="15" spans="1:25" ht="17.25" x14ac:dyDescent="0.25">
      <c r="C15" s="65"/>
      <c r="D15" s="359" t="s">
        <v>274</v>
      </c>
      <c r="E15" s="345">
        <f>SUM(E11:E14)</f>
        <v>35.200000000000003</v>
      </c>
      <c r="F15" s="342" t="s">
        <v>1560</v>
      </c>
    </row>
    <row r="16" spans="1:25" x14ac:dyDescent="0.25">
      <c r="C16" s="65"/>
      <c r="D16" s="359"/>
      <c r="E16" s="345"/>
      <c r="F16" s="342"/>
    </row>
    <row r="17" spans="3:5" x14ac:dyDescent="0.25">
      <c r="C17" s="284" t="s">
        <v>1989</v>
      </c>
    </row>
    <row r="18" spans="3:5" x14ac:dyDescent="0.25">
      <c r="C18" s="504" t="s">
        <v>1968</v>
      </c>
      <c r="D18" s="305"/>
      <c r="E18" s="503" t="s">
        <v>1985</v>
      </c>
    </row>
    <row r="19" spans="3:5" x14ac:dyDescent="0.25">
      <c r="C19" s="284" t="s">
        <v>1986</v>
      </c>
      <c r="D19" s="305"/>
    </row>
    <row r="20" spans="3:5" x14ac:dyDescent="0.25">
      <c r="C20" s="284" t="s">
        <v>2086</v>
      </c>
      <c r="D20" s="305"/>
    </row>
  </sheetData>
  <sheetProtection password="87E5" sheet="1" objects="1" scenarios="1"/>
  <mergeCells count="22">
    <mergeCell ref="L1:L4"/>
    <mergeCell ref="K1:K4"/>
    <mergeCell ref="E4:F4"/>
    <mergeCell ref="M1:O4"/>
    <mergeCell ref="P1:P4"/>
    <mergeCell ref="A1:F3"/>
    <mergeCell ref="G1:G4"/>
    <mergeCell ref="I1:I4"/>
    <mergeCell ref="J1:J4"/>
    <mergeCell ref="H1:H4"/>
    <mergeCell ref="Q1:Q4"/>
    <mergeCell ref="R1:R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fitToHeight="0" orientation="landscape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3"/>
  <sheetViews>
    <sheetView zoomScale="80" zoomScaleNormal="80" workbookViewId="0">
      <pane xSplit="7" ySplit="4" topLeftCell="H203" activePane="bottomRight" state="frozen"/>
      <selection pane="topRight" activeCell="H1" sqref="H1"/>
      <selection pane="bottomLeft" activeCell="A5" sqref="A5"/>
      <selection pane="bottomRight" activeCell="C223" sqref="C223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1" bestFit="1" customWidth="1"/>
    <col min="4" max="4" width="22.28515625" bestFit="1" customWidth="1"/>
    <col min="5" max="5" width="8.7109375" style="171" bestFit="1" customWidth="1"/>
    <col min="6" max="6" width="4.85546875" bestFit="1" customWidth="1"/>
    <col min="7" max="7" width="10.42578125" customWidth="1"/>
    <col min="8" max="8" width="14.7109375" customWidth="1"/>
    <col min="9" max="9" width="10.7109375" customWidth="1"/>
    <col min="10" max="10" width="10.140625" customWidth="1"/>
    <col min="11" max="11" width="26.85546875" customWidth="1"/>
    <col min="12" max="12" width="10.5703125" customWidth="1"/>
    <col min="13" max="13" width="7.7109375" customWidth="1"/>
    <col min="14" max="14" width="7.140625" customWidth="1"/>
    <col min="15" max="15" width="6" customWidth="1"/>
    <col min="16" max="16" width="9.28515625" customWidth="1"/>
    <col min="17" max="17" width="7.85546875" customWidth="1"/>
    <col min="18" max="18" width="9.140625" customWidth="1"/>
    <col min="19" max="19" width="7.7109375" customWidth="1"/>
    <col min="20" max="20" width="7.140625" customWidth="1"/>
    <col min="21" max="21" width="7.85546875" customWidth="1"/>
    <col min="22" max="22" width="7.140625" customWidth="1"/>
    <col min="23" max="23" width="7.28515625" customWidth="1"/>
    <col min="24" max="24" width="8.140625" customWidth="1"/>
    <col min="25" max="25" width="9.140625" customWidth="1"/>
  </cols>
  <sheetData>
    <row r="1" spans="1:25" s="15" customFormat="1" ht="15" customHeight="1" x14ac:dyDescent="0.25">
      <c r="A1" s="642" t="s">
        <v>1212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0.75" customHeigh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ht="30" customHeight="1" x14ac:dyDescent="0.25">
      <c r="A5" s="237" t="s">
        <v>139</v>
      </c>
      <c r="B5" s="237" t="s">
        <v>228</v>
      </c>
      <c r="C5" s="237" t="s">
        <v>1004</v>
      </c>
      <c r="D5" s="237" t="s">
        <v>17</v>
      </c>
      <c r="E5" s="240">
        <v>15.7</v>
      </c>
      <c r="F5" s="237" t="s">
        <v>4</v>
      </c>
      <c r="G5" s="22" t="s">
        <v>5</v>
      </c>
      <c r="H5" s="180" t="s">
        <v>738</v>
      </c>
      <c r="I5" s="21"/>
      <c r="J5" s="22" t="s">
        <v>194</v>
      </c>
      <c r="K5" s="21" t="s">
        <v>1449</v>
      </c>
      <c r="L5" s="24" t="s">
        <v>10</v>
      </c>
      <c r="M5" s="24" t="s">
        <v>7</v>
      </c>
      <c r="N5" s="154">
        <v>2725</v>
      </c>
      <c r="O5" s="22">
        <v>2125</v>
      </c>
      <c r="P5" s="49">
        <f t="shared" ref="P5:P68" si="0">N5*O5*0.000001</f>
        <v>5.7906249999999995</v>
      </c>
      <c r="Q5" s="25"/>
      <c r="R5" s="24"/>
      <c r="S5" s="25">
        <v>18.100000000000001</v>
      </c>
      <c r="T5" s="24">
        <v>2.9</v>
      </c>
      <c r="U5" s="11">
        <f>S5*T5-P5-Q5-X5-Y5</f>
        <v>44.699375000000003</v>
      </c>
      <c r="V5" s="24"/>
      <c r="W5" s="24"/>
      <c r="X5" s="25">
        <v>2</v>
      </c>
      <c r="Y5" s="25"/>
    </row>
    <row r="6" spans="1:25" ht="30" customHeight="1" x14ac:dyDescent="0.25">
      <c r="A6" s="144" t="s">
        <v>139</v>
      </c>
      <c r="B6" s="144" t="s">
        <v>228</v>
      </c>
      <c r="C6" s="144" t="s">
        <v>1005</v>
      </c>
      <c r="D6" s="144" t="s">
        <v>9</v>
      </c>
      <c r="E6" s="166">
        <v>1.8</v>
      </c>
      <c r="F6" s="144" t="s">
        <v>4</v>
      </c>
      <c r="G6" s="6" t="s">
        <v>5</v>
      </c>
      <c r="H6" s="180" t="s">
        <v>738</v>
      </c>
      <c r="I6" s="5"/>
      <c r="J6" s="6" t="s">
        <v>194</v>
      </c>
      <c r="K6" s="5" t="s">
        <v>1449</v>
      </c>
      <c r="L6" s="12" t="s">
        <v>10</v>
      </c>
      <c r="M6" s="12" t="s">
        <v>7</v>
      </c>
      <c r="N6" s="150">
        <v>1600</v>
      </c>
      <c r="O6" s="22">
        <v>2125</v>
      </c>
      <c r="P6" s="49">
        <f t="shared" si="0"/>
        <v>3.4</v>
      </c>
      <c r="Q6" s="13"/>
      <c r="R6" s="12"/>
      <c r="S6" s="13"/>
      <c r="T6" s="12">
        <v>2.9</v>
      </c>
      <c r="U6" s="13"/>
      <c r="V6" s="12"/>
      <c r="W6" s="12"/>
      <c r="X6" s="13"/>
      <c r="Y6" s="13"/>
    </row>
    <row r="7" spans="1:25" ht="30" customHeight="1" x14ac:dyDescent="0.25">
      <c r="A7" s="144" t="s">
        <v>139</v>
      </c>
      <c r="B7" s="144" t="s">
        <v>228</v>
      </c>
      <c r="C7" s="144" t="s">
        <v>1006</v>
      </c>
      <c r="D7" s="144" t="s">
        <v>17</v>
      </c>
      <c r="E7" s="166">
        <v>16.3</v>
      </c>
      <c r="F7" s="144" t="s">
        <v>4</v>
      </c>
      <c r="G7" s="6" t="s">
        <v>5</v>
      </c>
      <c r="H7" s="180" t="s">
        <v>738</v>
      </c>
      <c r="I7" s="5"/>
      <c r="J7" s="6" t="s">
        <v>194</v>
      </c>
      <c r="K7" s="5" t="s">
        <v>1449</v>
      </c>
      <c r="L7" s="12" t="s">
        <v>10</v>
      </c>
      <c r="M7" s="12" t="s">
        <v>7</v>
      </c>
      <c r="N7" s="150">
        <v>2725</v>
      </c>
      <c r="O7" s="22">
        <v>2125</v>
      </c>
      <c r="P7" s="49">
        <f t="shared" si="0"/>
        <v>5.7906249999999995</v>
      </c>
      <c r="Q7" s="13"/>
      <c r="R7" s="12"/>
      <c r="S7" s="13">
        <v>16.3</v>
      </c>
      <c r="T7" s="12">
        <v>2.9</v>
      </c>
      <c r="U7" s="11">
        <f>S7*T7-P7-Q7-X7-Y7</f>
        <v>39.479375000000005</v>
      </c>
      <c r="V7" s="12"/>
      <c r="W7" s="12"/>
      <c r="X7" s="13">
        <v>2</v>
      </c>
      <c r="Y7" s="13"/>
    </row>
    <row r="8" spans="1:25" ht="30" customHeight="1" x14ac:dyDescent="0.25">
      <c r="A8" s="144" t="s">
        <v>139</v>
      </c>
      <c r="B8" s="144" t="s">
        <v>228</v>
      </c>
      <c r="C8" s="144" t="s">
        <v>1007</v>
      </c>
      <c r="D8" s="144" t="s">
        <v>9</v>
      </c>
      <c r="E8" s="166">
        <v>1.8</v>
      </c>
      <c r="F8" s="144" t="s">
        <v>4</v>
      </c>
      <c r="G8" s="6" t="s">
        <v>5</v>
      </c>
      <c r="H8" s="180" t="s">
        <v>738</v>
      </c>
      <c r="I8" s="5"/>
      <c r="J8" s="6" t="s">
        <v>194</v>
      </c>
      <c r="K8" s="5" t="s">
        <v>1449</v>
      </c>
      <c r="L8" s="12" t="s">
        <v>10</v>
      </c>
      <c r="M8" s="12" t="s">
        <v>7</v>
      </c>
      <c r="N8" s="150">
        <v>1600</v>
      </c>
      <c r="O8" s="22">
        <v>2125</v>
      </c>
      <c r="P8" s="49">
        <f t="shared" si="0"/>
        <v>3.4</v>
      </c>
      <c r="Q8" s="13"/>
      <c r="R8" s="12"/>
      <c r="S8" s="13"/>
      <c r="T8" s="12">
        <v>2.9</v>
      </c>
      <c r="U8" s="25"/>
      <c r="V8" s="12"/>
      <c r="W8" s="12"/>
      <c r="X8" s="13"/>
      <c r="Y8" s="13"/>
    </row>
    <row r="9" spans="1:25" ht="30" customHeight="1" x14ac:dyDescent="0.25">
      <c r="A9" s="144" t="s">
        <v>139</v>
      </c>
      <c r="B9" s="144" t="s">
        <v>228</v>
      </c>
      <c r="C9" s="144" t="s">
        <v>1008</v>
      </c>
      <c r="D9" s="144" t="s">
        <v>17</v>
      </c>
      <c r="E9" s="166">
        <v>15.3</v>
      </c>
      <c r="F9" s="144" t="s">
        <v>4</v>
      </c>
      <c r="G9" s="6" t="s">
        <v>5</v>
      </c>
      <c r="H9" s="180" t="s">
        <v>738</v>
      </c>
      <c r="I9" s="5"/>
      <c r="J9" s="6" t="s">
        <v>194</v>
      </c>
      <c r="K9" s="5" t="s">
        <v>1449</v>
      </c>
      <c r="L9" s="12" t="s">
        <v>10</v>
      </c>
      <c r="M9" s="12" t="s">
        <v>7</v>
      </c>
      <c r="N9" s="150">
        <v>2725</v>
      </c>
      <c r="O9" s="22">
        <v>2125</v>
      </c>
      <c r="P9" s="49">
        <f t="shared" si="0"/>
        <v>5.7906249999999995</v>
      </c>
      <c r="Q9" s="13"/>
      <c r="R9" s="12"/>
      <c r="S9" s="13">
        <v>17.899999999999999</v>
      </c>
      <c r="T9" s="12">
        <v>2.9</v>
      </c>
      <c r="U9" s="16">
        <f>S9*T9-P9-Q9-X9-Y9</f>
        <v>44.119374999999998</v>
      </c>
      <c r="V9" s="12"/>
      <c r="W9" s="12"/>
      <c r="X9" s="13">
        <v>2</v>
      </c>
      <c r="Y9" s="13"/>
    </row>
    <row r="10" spans="1:25" ht="30" customHeight="1" x14ac:dyDescent="0.25">
      <c r="A10" s="144" t="s">
        <v>139</v>
      </c>
      <c r="B10" s="144" t="s">
        <v>228</v>
      </c>
      <c r="C10" s="144" t="s">
        <v>1009</v>
      </c>
      <c r="D10" s="144" t="s">
        <v>9</v>
      </c>
      <c r="E10" s="166">
        <v>1.8</v>
      </c>
      <c r="F10" s="144" t="s">
        <v>4</v>
      </c>
      <c r="G10" s="6" t="s">
        <v>5</v>
      </c>
      <c r="H10" s="180" t="s">
        <v>738</v>
      </c>
      <c r="I10" s="5"/>
      <c r="J10" s="6" t="s">
        <v>194</v>
      </c>
      <c r="K10" s="5" t="s">
        <v>1449</v>
      </c>
      <c r="L10" s="12" t="s">
        <v>10</v>
      </c>
      <c r="M10" s="12" t="s">
        <v>7</v>
      </c>
      <c r="N10" s="150">
        <v>1600</v>
      </c>
      <c r="O10" s="22">
        <v>2125</v>
      </c>
      <c r="P10" s="49">
        <f t="shared" si="0"/>
        <v>3.4</v>
      </c>
      <c r="Q10" s="13"/>
      <c r="R10" s="12"/>
      <c r="S10" s="13"/>
      <c r="T10" s="12">
        <v>2.9</v>
      </c>
      <c r="U10" s="13"/>
      <c r="V10" s="12"/>
      <c r="W10" s="12"/>
      <c r="X10" s="13"/>
      <c r="Y10" s="13"/>
    </row>
    <row r="11" spans="1:25" ht="30" customHeight="1" x14ac:dyDescent="0.25">
      <c r="A11" s="144" t="s">
        <v>139</v>
      </c>
      <c r="B11" s="144" t="s">
        <v>228</v>
      </c>
      <c r="C11" s="144" t="s">
        <v>1010</v>
      </c>
      <c r="D11" s="144" t="s">
        <v>17</v>
      </c>
      <c r="E11" s="166">
        <v>14.8</v>
      </c>
      <c r="F11" s="144" t="s">
        <v>4</v>
      </c>
      <c r="G11" s="6" t="s">
        <v>5</v>
      </c>
      <c r="H11" s="180" t="s">
        <v>738</v>
      </c>
      <c r="I11" s="5"/>
      <c r="J11" s="6" t="s">
        <v>194</v>
      </c>
      <c r="K11" s="5" t="s">
        <v>1449</v>
      </c>
      <c r="L11" s="179" t="s">
        <v>10</v>
      </c>
      <c r="M11" s="12" t="s">
        <v>7</v>
      </c>
      <c r="N11" s="150">
        <v>2725</v>
      </c>
      <c r="O11" s="22">
        <v>2125</v>
      </c>
      <c r="P11" s="49">
        <f t="shared" si="0"/>
        <v>5.7906249999999995</v>
      </c>
      <c r="Q11" s="13"/>
      <c r="R11" s="12"/>
      <c r="S11" s="13">
        <v>17.8</v>
      </c>
      <c r="T11" s="12">
        <v>2.9</v>
      </c>
      <c r="U11" s="16">
        <f>S11*T11-P11-Q11-X11-Y11</f>
        <v>43.829374999999999</v>
      </c>
      <c r="V11" s="12"/>
      <c r="W11" s="12"/>
      <c r="X11" s="13">
        <v>2</v>
      </c>
      <c r="Y11" s="13"/>
    </row>
    <row r="12" spans="1:25" ht="30" customHeight="1" thickBot="1" x14ac:dyDescent="0.3">
      <c r="A12" s="245" t="s">
        <v>139</v>
      </c>
      <c r="B12" s="245" t="s">
        <v>228</v>
      </c>
      <c r="C12" s="245" t="s">
        <v>1011</v>
      </c>
      <c r="D12" s="245" t="s">
        <v>9</v>
      </c>
      <c r="E12" s="246">
        <v>1.8</v>
      </c>
      <c r="F12" s="245" t="s">
        <v>4</v>
      </c>
      <c r="G12" s="19" t="s">
        <v>5</v>
      </c>
      <c r="H12" s="231" t="s">
        <v>738</v>
      </c>
      <c r="I12" s="18"/>
      <c r="J12" s="19" t="s">
        <v>194</v>
      </c>
      <c r="K12" s="18" t="s">
        <v>1449</v>
      </c>
      <c r="L12" s="20" t="s">
        <v>10</v>
      </c>
      <c r="M12" s="12" t="s">
        <v>7</v>
      </c>
      <c r="N12" s="150">
        <v>1600</v>
      </c>
      <c r="O12" s="22">
        <v>2125</v>
      </c>
      <c r="P12" s="49">
        <f t="shared" si="0"/>
        <v>3.4</v>
      </c>
      <c r="Q12" s="13"/>
      <c r="R12" s="12"/>
      <c r="S12" s="13"/>
      <c r="T12" s="12">
        <v>2.9</v>
      </c>
      <c r="U12" s="13"/>
      <c r="V12" s="12"/>
      <c r="W12" s="12"/>
      <c r="X12" s="13"/>
      <c r="Y12" s="13"/>
    </row>
    <row r="13" spans="1:25" ht="30" customHeight="1" thickTop="1" x14ac:dyDescent="0.25">
      <c r="A13" s="225" t="s">
        <v>230</v>
      </c>
      <c r="B13" s="225" t="s">
        <v>361</v>
      </c>
      <c r="C13" s="225" t="s">
        <v>1012</v>
      </c>
      <c r="D13" s="225" t="s">
        <v>55</v>
      </c>
      <c r="E13" s="228">
        <v>25.2</v>
      </c>
      <c r="F13" s="225" t="s">
        <v>4</v>
      </c>
      <c r="G13" s="22" t="s">
        <v>5</v>
      </c>
      <c r="H13" s="180" t="s">
        <v>738</v>
      </c>
      <c r="I13" s="22"/>
      <c r="J13" s="22" t="s">
        <v>194</v>
      </c>
      <c r="K13" s="21" t="s">
        <v>1449</v>
      </c>
      <c r="L13" s="22" t="s">
        <v>6</v>
      </c>
      <c r="M13" s="22" t="s">
        <v>7</v>
      </c>
      <c r="N13" s="22">
        <v>7650</v>
      </c>
      <c r="O13" s="22">
        <v>2125</v>
      </c>
      <c r="P13" s="49">
        <f t="shared" si="0"/>
        <v>16.256249999999998</v>
      </c>
      <c r="Q13" s="22">
        <v>3.37</v>
      </c>
      <c r="R13" s="22"/>
      <c r="S13" s="22">
        <v>28.9</v>
      </c>
      <c r="T13" s="22">
        <v>2.7</v>
      </c>
      <c r="U13" s="49">
        <f>S13*T13-P13-Q13-X13-Y13</f>
        <v>53.003750000000011</v>
      </c>
      <c r="V13" s="22"/>
      <c r="W13" s="22"/>
      <c r="X13" s="22">
        <v>3.42</v>
      </c>
      <c r="Y13" s="22">
        <v>1.98</v>
      </c>
    </row>
    <row r="14" spans="1:25" ht="30" customHeight="1" x14ac:dyDescent="0.25">
      <c r="A14" s="153" t="s">
        <v>230</v>
      </c>
      <c r="B14" s="153" t="s">
        <v>361</v>
      </c>
      <c r="C14" s="153" t="s">
        <v>1013</v>
      </c>
      <c r="D14" s="153" t="s">
        <v>80</v>
      </c>
      <c r="E14" s="241">
        <v>6.36</v>
      </c>
      <c r="F14" s="145" t="s">
        <v>4</v>
      </c>
      <c r="G14" s="6" t="s">
        <v>5</v>
      </c>
      <c r="H14" s="181" t="s">
        <v>738</v>
      </c>
      <c r="I14" s="6"/>
      <c r="J14" s="6" t="s">
        <v>194</v>
      </c>
      <c r="K14" s="5" t="s">
        <v>1449</v>
      </c>
      <c r="L14" s="12" t="s">
        <v>10</v>
      </c>
      <c r="M14" s="22" t="s">
        <v>7</v>
      </c>
      <c r="N14" s="22">
        <v>875</v>
      </c>
      <c r="O14" s="22">
        <v>2125</v>
      </c>
      <c r="P14" s="49">
        <f t="shared" si="0"/>
        <v>1.859375</v>
      </c>
      <c r="Q14" s="12">
        <v>3.26</v>
      </c>
      <c r="R14" s="12">
        <v>1.1000000000000001</v>
      </c>
      <c r="S14" s="12">
        <v>10.67</v>
      </c>
      <c r="T14" s="12">
        <v>2.7</v>
      </c>
      <c r="U14" s="49">
        <f>S14*T14-P14-Q14-X14-Y14</f>
        <v>23.689624999999999</v>
      </c>
      <c r="V14" s="12"/>
      <c r="W14" s="12"/>
      <c r="X14" s="12"/>
      <c r="Y14" s="12"/>
    </row>
    <row r="15" spans="1:25" ht="30" customHeight="1" x14ac:dyDescent="0.25">
      <c r="A15" s="153" t="s">
        <v>230</v>
      </c>
      <c r="B15" s="153" t="s">
        <v>361</v>
      </c>
      <c r="C15" s="153" t="s">
        <v>1014</v>
      </c>
      <c r="D15" s="153" t="s">
        <v>1015</v>
      </c>
      <c r="E15" s="241">
        <v>7.9</v>
      </c>
      <c r="F15" s="145" t="s">
        <v>4</v>
      </c>
      <c r="G15" s="6" t="s">
        <v>5</v>
      </c>
      <c r="H15" s="181" t="s">
        <v>738</v>
      </c>
      <c r="I15" s="6"/>
      <c r="J15" s="6" t="s">
        <v>194</v>
      </c>
      <c r="K15" s="5" t="s">
        <v>1449</v>
      </c>
      <c r="L15" s="12" t="s">
        <v>81</v>
      </c>
      <c r="M15" s="22" t="s">
        <v>7</v>
      </c>
      <c r="N15" s="22">
        <v>875</v>
      </c>
      <c r="O15" s="22">
        <v>2125</v>
      </c>
      <c r="P15" s="49">
        <f t="shared" si="0"/>
        <v>1.859375</v>
      </c>
      <c r="Q15" s="12"/>
      <c r="R15" s="12"/>
      <c r="S15" s="12">
        <v>7.9</v>
      </c>
      <c r="T15" s="12">
        <v>2.7</v>
      </c>
      <c r="U15" s="12"/>
      <c r="V15" s="12"/>
      <c r="W15" s="12"/>
      <c r="X15" s="152">
        <f>S15*T15-P15-Q15-Y15</f>
        <v>19.470625000000002</v>
      </c>
      <c r="Y15" s="12"/>
    </row>
    <row r="16" spans="1:25" ht="30" customHeight="1" x14ac:dyDescent="0.25">
      <c r="A16" s="145" t="s">
        <v>230</v>
      </c>
      <c r="B16" s="145" t="s">
        <v>361</v>
      </c>
      <c r="C16" s="145" t="s">
        <v>1016</v>
      </c>
      <c r="D16" s="145" t="s">
        <v>162</v>
      </c>
      <c r="E16" s="168">
        <v>25.9</v>
      </c>
      <c r="F16" s="145" t="s">
        <v>4</v>
      </c>
      <c r="G16" s="6" t="s">
        <v>5</v>
      </c>
      <c r="H16" s="181" t="s">
        <v>738</v>
      </c>
      <c r="I16" s="6"/>
      <c r="J16" s="6" t="s">
        <v>194</v>
      </c>
      <c r="K16" s="5" t="s">
        <v>1449</v>
      </c>
      <c r="L16" s="12" t="s">
        <v>10</v>
      </c>
      <c r="M16" s="22" t="s">
        <v>7</v>
      </c>
      <c r="N16" s="22">
        <v>1125</v>
      </c>
      <c r="O16" s="22">
        <v>2125</v>
      </c>
      <c r="P16" s="49">
        <f t="shared" si="0"/>
        <v>2.390625</v>
      </c>
      <c r="Q16" s="12">
        <v>5.17</v>
      </c>
      <c r="R16" s="12">
        <v>1.1299999999999999</v>
      </c>
      <c r="S16" s="12">
        <v>20.91</v>
      </c>
      <c r="T16" s="12">
        <v>3</v>
      </c>
      <c r="U16" s="49">
        <f>S16*T16-P16-Q16-X16-Y16</f>
        <v>53.169375000000002</v>
      </c>
      <c r="V16" s="12"/>
      <c r="W16" s="12"/>
      <c r="X16" s="12">
        <v>2</v>
      </c>
      <c r="Y16" s="12"/>
    </row>
    <row r="17" spans="1:25" ht="30" customHeight="1" x14ac:dyDescent="0.25">
      <c r="A17" s="145" t="s">
        <v>230</v>
      </c>
      <c r="B17" s="145" t="s">
        <v>361</v>
      </c>
      <c r="C17" s="145" t="s">
        <v>1017</v>
      </c>
      <c r="D17" s="145" t="s">
        <v>362</v>
      </c>
      <c r="E17" s="168">
        <v>8.6</v>
      </c>
      <c r="F17" s="145" t="s">
        <v>4</v>
      </c>
      <c r="G17" s="6" t="s">
        <v>5</v>
      </c>
      <c r="H17" s="181" t="s">
        <v>738</v>
      </c>
      <c r="I17" s="6"/>
      <c r="J17" s="6" t="s">
        <v>194</v>
      </c>
      <c r="K17" s="5" t="s">
        <v>1449</v>
      </c>
      <c r="L17" s="12" t="s">
        <v>6</v>
      </c>
      <c r="M17" s="22" t="s">
        <v>7</v>
      </c>
      <c r="N17" s="22">
        <v>3000</v>
      </c>
      <c r="O17" s="22">
        <v>2125</v>
      </c>
      <c r="P17" s="49">
        <f t="shared" si="0"/>
        <v>6.375</v>
      </c>
      <c r="Q17" s="12"/>
      <c r="R17" s="12"/>
      <c r="S17" s="12">
        <v>11.85</v>
      </c>
      <c r="T17" s="12">
        <v>2.7</v>
      </c>
      <c r="U17" s="49">
        <f>S17*T17-P17-Q17-X17-Y17</f>
        <v>19.14</v>
      </c>
      <c r="V17" s="12"/>
      <c r="W17" s="12"/>
      <c r="X17" s="12">
        <v>3.84</v>
      </c>
      <c r="Y17" s="12">
        <v>2.64</v>
      </c>
    </row>
    <row r="18" spans="1:25" ht="30" customHeight="1" x14ac:dyDescent="0.25">
      <c r="A18" s="145" t="s">
        <v>230</v>
      </c>
      <c r="B18" s="145" t="s">
        <v>361</v>
      </c>
      <c r="C18" s="145" t="s">
        <v>1018</v>
      </c>
      <c r="D18" s="145" t="s">
        <v>55</v>
      </c>
      <c r="E18" s="168">
        <v>57</v>
      </c>
      <c r="F18" s="145" t="s">
        <v>4</v>
      </c>
      <c r="G18" s="6" t="s">
        <v>5</v>
      </c>
      <c r="H18" s="181" t="s">
        <v>738</v>
      </c>
      <c r="I18" s="6"/>
      <c r="J18" s="6" t="s">
        <v>194</v>
      </c>
      <c r="K18" s="5" t="s">
        <v>1449</v>
      </c>
      <c r="L18" s="12" t="s">
        <v>6</v>
      </c>
      <c r="M18" s="22" t="s">
        <v>7</v>
      </c>
      <c r="N18" s="22">
        <v>13125</v>
      </c>
      <c r="O18" s="22">
        <v>2125</v>
      </c>
      <c r="P18" s="49">
        <f t="shared" si="0"/>
        <v>27.890625</v>
      </c>
      <c r="Q18" s="12"/>
      <c r="R18" s="12"/>
      <c r="S18" s="12">
        <v>38.5</v>
      </c>
      <c r="T18" s="12">
        <v>2.7</v>
      </c>
      <c r="U18" s="49">
        <f>S18*T18-P18-Q18-X18-Y18</f>
        <v>76.059375000000003</v>
      </c>
      <c r="V18" s="12"/>
      <c r="W18" s="12"/>
      <c r="X18" s="12"/>
      <c r="Y18" s="12"/>
    </row>
    <row r="19" spans="1:25" ht="30" customHeight="1" x14ac:dyDescent="0.25">
      <c r="A19" s="145" t="s">
        <v>230</v>
      </c>
      <c r="B19" s="145" t="s">
        <v>361</v>
      </c>
      <c r="C19" s="145" t="s">
        <v>1019</v>
      </c>
      <c r="D19" s="145" t="s">
        <v>364</v>
      </c>
      <c r="E19" s="168">
        <v>21.3</v>
      </c>
      <c r="F19" s="145" t="s">
        <v>4</v>
      </c>
      <c r="G19" s="6" t="s">
        <v>5</v>
      </c>
      <c r="H19" s="181" t="s">
        <v>738</v>
      </c>
      <c r="I19" s="6"/>
      <c r="J19" s="6" t="s">
        <v>194</v>
      </c>
      <c r="K19" s="5" t="s">
        <v>1449</v>
      </c>
      <c r="L19" s="12" t="s">
        <v>10</v>
      </c>
      <c r="M19" s="22" t="s">
        <v>7</v>
      </c>
      <c r="N19" s="22">
        <v>2000</v>
      </c>
      <c r="O19" s="22">
        <v>2125</v>
      </c>
      <c r="P19" s="49">
        <f t="shared" si="0"/>
        <v>4.25</v>
      </c>
      <c r="Q19" s="12">
        <v>5.17</v>
      </c>
      <c r="R19" s="12">
        <v>0.57999999999999996</v>
      </c>
      <c r="S19" s="12">
        <v>19.86</v>
      </c>
      <c r="T19" s="12">
        <v>3</v>
      </c>
      <c r="U19" s="49">
        <f>S19*T19-P19-Q19-X19-Y19</f>
        <v>48.16</v>
      </c>
      <c r="V19" s="12"/>
      <c r="W19" s="12"/>
      <c r="X19" s="12">
        <v>2</v>
      </c>
      <c r="Y19" s="12"/>
    </row>
    <row r="20" spans="1:25" ht="30" customHeight="1" x14ac:dyDescent="0.25">
      <c r="A20" s="145" t="s">
        <v>230</v>
      </c>
      <c r="B20" s="145" t="s">
        <v>361</v>
      </c>
      <c r="C20" s="145" t="s">
        <v>1020</v>
      </c>
      <c r="D20" s="145" t="s">
        <v>101</v>
      </c>
      <c r="E20" s="168">
        <v>2.2000000000000002</v>
      </c>
      <c r="F20" s="145" t="s">
        <v>4</v>
      </c>
      <c r="G20" s="6" t="s">
        <v>5</v>
      </c>
      <c r="H20" s="181" t="s">
        <v>738</v>
      </c>
      <c r="I20" s="6"/>
      <c r="J20" s="6" t="s">
        <v>194</v>
      </c>
      <c r="K20" s="5" t="s">
        <v>1449</v>
      </c>
      <c r="L20" s="12" t="s">
        <v>81</v>
      </c>
      <c r="M20" s="22" t="s">
        <v>7</v>
      </c>
      <c r="N20" s="22">
        <v>875</v>
      </c>
      <c r="O20" s="22">
        <v>2125</v>
      </c>
      <c r="P20" s="49">
        <f t="shared" si="0"/>
        <v>1.859375</v>
      </c>
      <c r="Q20" s="12"/>
      <c r="R20" s="12"/>
      <c r="S20" s="12">
        <v>5.99</v>
      </c>
      <c r="T20" s="12">
        <v>2.6</v>
      </c>
      <c r="U20" s="24"/>
      <c r="V20" s="12"/>
      <c r="W20" s="12"/>
      <c r="X20" s="152">
        <f>S20*T20-P20-Q20-Y20</f>
        <v>13.714625000000002</v>
      </c>
      <c r="Y20" s="12"/>
    </row>
    <row r="21" spans="1:25" ht="30" customHeight="1" x14ac:dyDescent="0.25">
      <c r="A21" s="145" t="s">
        <v>230</v>
      </c>
      <c r="B21" s="145" t="s">
        <v>361</v>
      </c>
      <c r="C21" s="145" t="s">
        <v>1021</v>
      </c>
      <c r="D21" s="145" t="s">
        <v>363</v>
      </c>
      <c r="E21" s="168">
        <v>25.3</v>
      </c>
      <c r="F21" s="145" t="s">
        <v>4</v>
      </c>
      <c r="G21" s="6" t="s">
        <v>5</v>
      </c>
      <c r="H21" s="181" t="s">
        <v>738</v>
      </c>
      <c r="I21" s="6"/>
      <c r="J21" s="6" t="s">
        <v>194</v>
      </c>
      <c r="K21" s="5" t="s">
        <v>1449</v>
      </c>
      <c r="L21" s="12" t="s">
        <v>10</v>
      </c>
      <c r="M21" s="22" t="s">
        <v>7</v>
      </c>
      <c r="N21" s="22">
        <v>2000</v>
      </c>
      <c r="O21" s="22">
        <v>2125</v>
      </c>
      <c r="P21" s="49">
        <f t="shared" si="0"/>
        <v>4.25</v>
      </c>
      <c r="Q21" s="12">
        <v>3.45</v>
      </c>
      <c r="R21" s="12">
        <v>2.25</v>
      </c>
      <c r="S21" s="12">
        <v>24.5</v>
      </c>
      <c r="T21" s="12">
        <v>3</v>
      </c>
      <c r="U21" s="35">
        <f>S21*T21-P21-Q21-X21-Y21</f>
        <v>63.8</v>
      </c>
      <c r="V21" s="12"/>
      <c r="W21" s="12"/>
      <c r="X21" s="12">
        <v>2</v>
      </c>
      <c r="Y21" s="12"/>
    </row>
    <row r="22" spans="1:25" ht="30" customHeight="1" x14ac:dyDescent="0.25">
      <c r="A22" s="145" t="s">
        <v>230</v>
      </c>
      <c r="B22" s="145" t="s">
        <v>361</v>
      </c>
      <c r="C22" s="145" t="s">
        <v>1022</v>
      </c>
      <c r="D22" s="145" t="s">
        <v>101</v>
      </c>
      <c r="E22" s="168">
        <v>3.6</v>
      </c>
      <c r="F22" s="145" t="s">
        <v>4</v>
      </c>
      <c r="G22" s="6" t="s">
        <v>5</v>
      </c>
      <c r="H22" s="181" t="s">
        <v>738</v>
      </c>
      <c r="I22" s="6"/>
      <c r="J22" s="6" t="s">
        <v>194</v>
      </c>
      <c r="K22" s="5" t="s">
        <v>1449</v>
      </c>
      <c r="L22" s="12" t="s">
        <v>81</v>
      </c>
      <c r="M22" s="22" t="s">
        <v>7</v>
      </c>
      <c r="N22" s="22">
        <v>875</v>
      </c>
      <c r="O22" s="22">
        <v>2125</v>
      </c>
      <c r="P22" s="49">
        <f t="shared" si="0"/>
        <v>1.859375</v>
      </c>
      <c r="Q22" s="12"/>
      <c r="R22" s="12"/>
      <c r="S22" s="12">
        <v>7.94</v>
      </c>
      <c r="T22" s="12">
        <v>2.6</v>
      </c>
      <c r="U22" s="24"/>
      <c r="V22" s="12"/>
      <c r="W22" s="12"/>
      <c r="X22" s="152">
        <f>S22*T22-P22-Q22-Y22</f>
        <v>18.784625000000002</v>
      </c>
      <c r="Y22" s="12"/>
    </row>
    <row r="23" spans="1:25" ht="30" customHeight="1" x14ac:dyDescent="0.25">
      <c r="A23" s="145" t="s">
        <v>230</v>
      </c>
      <c r="B23" s="145" t="s">
        <v>361</v>
      </c>
      <c r="C23" s="145" t="s">
        <v>1023</v>
      </c>
      <c r="D23" s="145" t="s">
        <v>363</v>
      </c>
      <c r="E23" s="168">
        <v>23.6</v>
      </c>
      <c r="F23" s="145" t="s">
        <v>4</v>
      </c>
      <c r="G23" s="6" t="s">
        <v>5</v>
      </c>
      <c r="H23" s="181" t="s">
        <v>738</v>
      </c>
      <c r="I23" s="6"/>
      <c r="J23" s="6" t="s">
        <v>194</v>
      </c>
      <c r="K23" s="5" t="s">
        <v>1449</v>
      </c>
      <c r="L23" s="12" t="s">
        <v>10</v>
      </c>
      <c r="M23" s="22" t="s">
        <v>7</v>
      </c>
      <c r="N23" s="22">
        <v>2000</v>
      </c>
      <c r="O23" s="22">
        <v>2125</v>
      </c>
      <c r="P23" s="49">
        <f t="shared" si="0"/>
        <v>4.25</v>
      </c>
      <c r="Q23" s="12">
        <v>4.1399999999999997</v>
      </c>
      <c r="R23" s="12">
        <v>1.1299999999999999</v>
      </c>
      <c r="S23" s="12">
        <v>22</v>
      </c>
      <c r="T23" s="12">
        <v>3</v>
      </c>
      <c r="U23" s="35">
        <f>S23*T23-P23-Q23-X23-Y23</f>
        <v>55.61</v>
      </c>
      <c r="V23" s="12"/>
      <c r="W23" s="12"/>
      <c r="X23" s="12">
        <v>2</v>
      </c>
      <c r="Y23" s="12"/>
    </row>
    <row r="24" spans="1:25" ht="30" customHeight="1" x14ac:dyDescent="0.25">
      <c r="A24" s="145" t="s">
        <v>230</v>
      </c>
      <c r="B24" s="145" t="s">
        <v>361</v>
      </c>
      <c r="C24" s="145" t="s">
        <v>1024</v>
      </c>
      <c r="D24" s="145" t="s">
        <v>101</v>
      </c>
      <c r="E24" s="168">
        <v>4</v>
      </c>
      <c r="F24" s="145" t="s">
        <v>4</v>
      </c>
      <c r="G24" s="6" t="s">
        <v>5</v>
      </c>
      <c r="H24" s="181" t="s">
        <v>738</v>
      </c>
      <c r="I24" s="6"/>
      <c r="J24" s="6" t="s">
        <v>194</v>
      </c>
      <c r="K24" s="5" t="s">
        <v>1449</v>
      </c>
      <c r="L24" s="12" t="s">
        <v>81</v>
      </c>
      <c r="M24" s="22" t="s">
        <v>7</v>
      </c>
      <c r="N24" s="22">
        <v>875</v>
      </c>
      <c r="O24" s="22">
        <v>2125</v>
      </c>
      <c r="P24" s="49">
        <f t="shared" si="0"/>
        <v>1.859375</v>
      </c>
      <c r="Q24" s="12"/>
      <c r="R24" s="12"/>
      <c r="S24" s="12">
        <v>7.99</v>
      </c>
      <c r="T24" s="12">
        <v>2.6</v>
      </c>
      <c r="U24" s="24"/>
      <c r="V24" s="12"/>
      <c r="W24" s="12"/>
      <c r="X24" s="152">
        <f>S24*T24-P24-Q24-Y24</f>
        <v>18.914625000000001</v>
      </c>
      <c r="Y24" s="12"/>
    </row>
    <row r="25" spans="1:25" ht="30" customHeight="1" x14ac:dyDescent="0.25">
      <c r="A25" s="145" t="s">
        <v>230</v>
      </c>
      <c r="B25" s="145" t="s">
        <v>361</v>
      </c>
      <c r="C25" s="145" t="s">
        <v>1025</v>
      </c>
      <c r="D25" s="145" t="s">
        <v>1026</v>
      </c>
      <c r="E25" s="168">
        <v>27.9</v>
      </c>
      <c r="F25" s="145" t="s">
        <v>4</v>
      </c>
      <c r="G25" s="6" t="s">
        <v>5</v>
      </c>
      <c r="H25" s="181" t="s">
        <v>738</v>
      </c>
      <c r="I25" s="6"/>
      <c r="J25" s="6" t="s">
        <v>194</v>
      </c>
      <c r="K25" s="5" t="s">
        <v>1449</v>
      </c>
      <c r="L25" s="12" t="s">
        <v>10</v>
      </c>
      <c r="M25" s="22" t="s">
        <v>7</v>
      </c>
      <c r="N25" s="22">
        <v>2250</v>
      </c>
      <c r="O25" s="22">
        <v>2125</v>
      </c>
      <c r="P25" s="49">
        <f t="shared" si="0"/>
        <v>4.78125</v>
      </c>
      <c r="Q25" s="12">
        <v>5.18</v>
      </c>
      <c r="R25" s="12">
        <v>2.25</v>
      </c>
      <c r="S25" s="12">
        <v>23.11</v>
      </c>
      <c r="T25" s="12">
        <v>3</v>
      </c>
      <c r="U25" s="35">
        <f>S25*T25-P25-Q25-X25-Y25</f>
        <v>57.368749999999999</v>
      </c>
      <c r="V25" s="12"/>
      <c r="W25" s="12"/>
      <c r="X25" s="12">
        <v>2</v>
      </c>
      <c r="Y25" s="12"/>
    </row>
    <row r="26" spans="1:25" ht="30" customHeight="1" x14ac:dyDescent="0.25">
      <c r="A26" s="145" t="s">
        <v>230</v>
      </c>
      <c r="B26" s="145" t="s">
        <v>361</v>
      </c>
      <c r="C26" s="145" t="s">
        <v>1027</v>
      </c>
      <c r="D26" s="145" t="s">
        <v>1028</v>
      </c>
      <c r="E26" s="168">
        <v>4.5</v>
      </c>
      <c r="F26" s="145" t="s">
        <v>4</v>
      </c>
      <c r="G26" s="6" t="s">
        <v>5</v>
      </c>
      <c r="H26" s="181" t="s">
        <v>738</v>
      </c>
      <c r="I26" s="6"/>
      <c r="J26" s="6" t="s">
        <v>194</v>
      </c>
      <c r="K26" s="5" t="s">
        <v>1449</v>
      </c>
      <c r="L26" s="12" t="s">
        <v>81</v>
      </c>
      <c r="M26" s="22" t="s">
        <v>7</v>
      </c>
      <c r="N26" s="22">
        <v>1125</v>
      </c>
      <c r="O26" s="22">
        <v>2125</v>
      </c>
      <c r="P26" s="49">
        <f t="shared" si="0"/>
        <v>2.390625</v>
      </c>
      <c r="Q26" s="12"/>
      <c r="R26" s="12"/>
      <c r="S26" s="12">
        <v>9.26</v>
      </c>
      <c r="T26" s="12">
        <v>2.6</v>
      </c>
      <c r="U26" s="24"/>
      <c r="V26" s="12"/>
      <c r="W26" s="12"/>
      <c r="X26" s="152">
        <f>S26*T26-P26-Q26-Y26</f>
        <v>21.685375000000001</v>
      </c>
      <c r="Y26" s="12"/>
    </row>
    <row r="27" spans="1:25" ht="30" customHeight="1" x14ac:dyDescent="0.25">
      <c r="A27" s="145" t="s">
        <v>230</v>
      </c>
      <c r="B27" s="145" t="s">
        <v>361</v>
      </c>
      <c r="C27" s="145" t="s">
        <v>1029</v>
      </c>
      <c r="D27" s="145" t="s">
        <v>364</v>
      </c>
      <c r="E27" s="168">
        <v>20.9</v>
      </c>
      <c r="F27" s="145" t="s">
        <v>4</v>
      </c>
      <c r="G27" s="6" t="s">
        <v>5</v>
      </c>
      <c r="H27" s="181" t="s">
        <v>738</v>
      </c>
      <c r="I27" s="6"/>
      <c r="J27" s="6" t="s">
        <v>194</v>
      </c>
      <c r="K27" s="5" t="s">
        <v>1449</v>
      </c>
      <c r="L27" s="12" t="s">
        <v>10</v>
      </c>
      <c r="M27" s="22" t="s">
        <v>7</v>
      </c>
      <c r="N27" s="22">
        <v>2000</v>
      </c>
      <c r="O27" s="22">
        <v>2125</v>
      </c>
      <c r="P27" s="49">
        <f t="shared" si="0"/>
        <v>4.25</v>
      </c>
      <c r="Q27" s="12">
        <v>5.17</v>
      </c>
      <c r="R27" s="12">
        <v>1.1299999999999999</v>
      </c>
      <c r="S27" s="12">
        <v>19.55</v>
      </c>
      <c r="T27" s="12">
        <v>3</v>
      </c>
      <c r="U27" s="35">
        <f>S27*T27-P27-Q27-X27-Y27</f>
        <v>47.230000000000004</v>
      </c>
      <c r="V27" s="12"/>
      <c r="W27" s="12"/>
      <c r="X27" s="12">
        <v>2</v>
      </c>
      <c r="Y27" s="12"/>
    </row>
    <row r="28" spans="1:25" ht="30" customHeight="1" x14ac:dyDescent="0.25">
      <c r="A28" s="145" t="s">
        <v>230</v>
      </c>
      <c r="B28" s="145" t="s">
        <v>361</v>
      </c>
      <c r="C28" s="145" t="s">
        <v>1030</v>
      </c>
      <c r="D28" s="145" t="s">
        <v>101</v>
      </c>
      <c r="E28" s="168">
        <v>2.2000000000000002</v>
      </c>
      <c r="F28" s="145" t="s">
        <v>4</v>
      </c>
      <c r="G28" s="6" t="s">
        <v>5</v>
      </c>
      <c r="H28" s="181" t="s">
        <v>738</v>
      </c>
      <c r="I28" s="6"/>
      <c r="J28" s="6" t="s">
        <v>194</v>
      </c>
      <c r="K28" s="5" t="s">
        <v>1449</v>
      </c>
      <c r="L28" s="12" t="s">
        <v>81</v>
      </c>
      <c r="M28" s="22" t="s">
        <v>7</v>
      </c>
      <c r="N28" s="22">
        <v>875</v>
      </c>
      <c r="O28" s="22">
        <v>2125</v>
      </c>
      <c r="P28" s="49">
        <f t="shared" si="0"/>
        <v>1.859375</v>
      </c>
      <c r="Q28" s="12"/>
      <c r="R28" s="12"/>
      <c r="S28" s="12">
        <v>5.99</v>
      </c>
      <c r="T28" s="12">
        <v>2.6</v>
      </c>
      <c r="U28" s="24"/>
      <c r="V28" s="12"/>
      <c r="W28" s="12"/>
      <c r="X28" s="152">
        <f>S28*T28-P28-Q28-Y28</f>
        <v>13.714625000000002</v>
      </c>
      <c r="Y28" s="12"/>
    </row>
    <row r="29" spans="1:25" ht="30" customHeight="1" x14ac:dyDescent="0.25">
      <c r="A29" s="145" t="s">
        <v>230</v>
      </c>
      <c r="B29" s="145" t="s">
        <v>361</v>
      </c>
      <c r="C29" s="145" t="s">
        <v>1031</v>
      </c>
      <c r="D29" s="145" t="s">
        <v>364</v>
      </c>
      <c r="E29" s="168">
        <v>18.100000000000001</v>
      </c>
      <c r="F29" s="145" t="s">
        <v>4</v>
      </c>
      <c r="G29" s="6" t="s">
        <v>5</v>
      </c>
      <c r="H29" s="181" t="s">
        <v>738</v>
      </c>
      <c r="I29" s="6"/>
      <c r="J29" s="6" t="s">
        <v>194</v>
      </c>
      <c r="K29" s="5" t="s">
        <v>1449</v>
      </c>
      <c r="L29" s="12" t="s">
        <v>10</v>
      </c>
      <c r="M29" s="22" t="s">
        <v>7</v>
      </c>
      <c r="N29" s="22">
        <v>2000</v>
      </c>
      <c r="O29" s="22">
        <v>2125</v>
      </c>
      <c r="P29" s="49">
        <f t="shared" si="0"/>
        <v>4.25</v>
      </c>
      <c r="Q29" s="12">
        <v>3.45</v>
      </c>
      <c r="R29" s="12">
        <v>0.57999999999999996</v>
      </c>
      <c r="S29" s="12">
        <v>18.7</v>
      </c>
      <c r="T29" s="12">
        <v>3</v>
      </c>
      <c r="U29" s="35">
        <f>S29*T29-P29-Q29-X29-Y29</f>
        <v>46.399999999999991</v>
      </c>
      <c r="V29" s="12"/>
      <c r="W29" s="12"/>
      <c r="X29" s="12">
        <v>2</v>
      </c>
      <c r="Y29" s="12"/>
    </row>
    <row r="30" spans="1:25" ht="30" customHeight="1" x14ac:dyDescent="0.25">
      <c r="A30" s="145" t="s">
        <v>230</v>
      </c>
      <c r="B30" s="145" t="s">
        <v>361</v>
      </c>
      <c r="C30" s="145" t="s">
        <v>1032</v>
      </c>
      <c r="D30" s="145" t="s">
        <v>101</v>
      </c>
      <c r="E30" s="168">
        <v>2.2000000000000002</v>
      </c>
      <c r="F30" s="145" t="s">
        <v>4</v>
      </c>
      <c r="G30" s="6" t="s">
        <v>5</v>
      </c>
      <c r="H30" s="181" t="s">
        <v>738</v>
      </c>
      <c r="I30" s="6"/>
      <c r="J30" s="6" t="s">
        <v>194</v>
      </c>
      <c r="K30" s="5" t="s">
        <v>1449</v>
      </c>
      <c r="L30" s="12" t="s">
        <v>81</v>
      </c>
      <c r="M30" s="22" t="s">
        <v>7</v>
      </c>
      <c r="N30" s="22">
        <v>875</v>
      </c>
      <c r="O30" s="22">
        <v>2125</v>
      </c>
      <c r="P30" s="49">
        <f t="shared" si="0"/>
        <v>1.859375</v>
      </c>
      <c r="Q30" s="12"/>
      <c r="R30" s="12"/>
      <c r="S30" s="12">
        <v>5.99</v>
      </c>
      <c r="T30" s="12">
        <v>2.6</v>
      </c>
      <c r="U30" s="24"/>
      <c r="V30" s="12"/>
      <c r="W30" s="12"/>
      <c r="X30" s="152">
        <f>S30*T30-P30-Q30-Y30</f>
        <v>13.714625000000002</v>
      </c>
      <c r="Y30" s="12"/>
    </row>
    <row r="31" spans="1:25" ht="30" customHeight="1" x14ac:dyDescent="0.25">
      <c r="A31" s="145" t="s">
        <v>230</v>
      </c>
      <c r="B31" s="145" t="s">
        <v>361</v>
      </c>
      <c r="C31" s="145" t="s">
        <v>1033</v>
      </c>
      <c r="D31" s="145" t="s">
        <v>100</v>
      </c>
      <c r="E31" s="168">
        <v>18.2</v>
      </c>
      <c r="F31" s="145" t="s">
        <v>4</v>
      </c>
      <c r="G31" s="6" t="s">
        <v>5</v>
      </c>
      <c r="H31" s="181" t="s">
        <v>738</v>
      </c>
      <c r="I31" s="6"/>
      <c r="J31" s="6" t="s">
        <v>194</v>
      </c>
      <c r="K31" s="5" t="s">
        <v>1449</v>
      </c>
      <c r="L31" s="12" t="s">
        <v>10</v>
      </c>
      <c r="M31" s="22" t="s">
        <v>7</v>
      </c>
      <c r="N31" s="22">
        <v>2000</v>
      </c>
      <c r="O31" s="22">
        <v>2125</v>
      </c>
      <c r="P31" s="49">
        <f t="shared" si="0"/>
        <v>4.25</v>
      </c>
      <c r="Q31" s="12">
        <v>3.45</v>
      </c>
      <c r="R31" s="12">
        <v>0.57999999999999996</v>
      </c>
      <c r="S31" s="12">
        <v>18.7</v>
      </c>
      <c r="T31" s="12">
        <v>3</v>
      </c>
      <c r="U31" s="35">
        <f>S31*T31-P31-Q31-X31-Y31</f>
        <v>46.399999999999991</v>
      </c>
      <c r="V31" s="12"/>
      <c r="W31" s="12"/>
      <c r="X31" s="12">
        <v>2</v>
      </c>
      <c r="Y31" s="12"/>
    </row>
    <row r="32" spans="1:25" ht="30" customHeight="1" x14ac:dyDescent="0.25">
      <c r="A32" s="145" t="s">
        <v>230</v>
      </c>
      <c r="B32" s="145" t="s">
        <v>361</v>
      </c>
      <c r="C32" s="145" t="s">
        <v>1034</v>
      </c>
      <c r="D32" s="145" t="s">
        <v>101</v>
      </c>
      <c r="E32" s="168">
        <v>2.2000000000000002</v>
      </c>
      <c r="F32" s="145" t="s">
        <v>4</v>
      </c>
      <c r="G32" s="6" t="s">
        <v>5</v>
      </c>
      <c r="H32" s="181" t="s">
        <v>738</v>
      </c>
      <c r="I32" s="6"/>
      <c r="J32" s="6" t="s">
        <v>194</v>
      </c>
      <c r="K32" s="5" t="s">
        <v>1449</v>
      </c>
      <c r="L32" s="12" t="s">
        <v>81</v>
      </c>
      <c r="M32" s="22" t="s">
        <v>7</v>
      </c>
      <c r="N32" s="22">
        <v>875</v>
      </c>
      <c r="O32" s="22">
        <v>2125</v>
      </c>
      <c r="P32" s="49">
        <f t="shared" si="0"/>
        <v>1.859375</v>
      </c>
      <c r="Q32" s="12"/>
      <c r="R32" s="12"/>
      <c r="S32" s="12">
        <v>5.99</v>
      </c>
      <c r="T32" s="12">
        <v>2.6</v>
      </c>
      <c r="U32" s="24"/>
      <c r="V32" s="12"/>
      <c r="W32" s="12"/>
      <c r="X32" s="152">
        <f>S32*T32-P32-Q32-Y32</f>
        <v>13.714625000000002</v>
      </c>
      <c r="Y32" s="12"/>
    </row>
    <row r="33" spans="1:25" ht="30" customHeight="1" x14ac:dyDescent="0.25">
      <c r="A33" s="145" t="s">
        <v>230</v>
      </c>
      <c r="B33" s="145" t="s">
        <v>361</v>
      </c>
      <c r="C33" s="145" t="s">
        <v>1035</v>
      </c>
      <c r="D33" s="145" t="s">
        <v>162</v>
      </c>
      <c r="E33" s="168">
        <v>16.899999999999999</v>
      </c>
      <c r="F33" s="145" t="s">
        <v>4</v>
      </c>
      <c r="G33" s="6" t="s">
        <v>5</v>
      </c>
      <c r="H33" s="181" t="s">
        <v>738</v>
      </c>
      <c r="I33" s="6"/>
      <c r="J33" s="6" t="s">
        <v>194</v>
      </c>
      <c r="K33" s="5" t="s">
        <v>1449</v>
      </c>
      <c r="L33" s="12" t="s">
        <v>10</v>
      </c>
      <c r="M33" s="22" t="s">
        <v>7</v>
      </c>
      <c r="N33" s="22">
        <v>2000</v>
      </c>
      <c r="O33" s="22">
        <v>2125</v>
      </c>
      <c r="P33" s="49">
        <f t="shared" si="0"/>
        <v>4.25</v>
      </c>
      <c r="Q33" s="12"/>
      <c r="R33" s="12"/>
      <c r="S33" s="12">
        <v>17.95</v>
      </c>
      <c r="T33" s="12">
        <v>3</v>
      </c>
      <c r="U33" s="35">
        <f>S33*T33-P33-Q33-X33-Y33</f>
        <v>47.599999999999994</v>
      </c>
      <c r="V33" s="12"/>
      <c r="W33" s="12"/>
      <c r="X33" s="12">
        <v>2</v>
      </c>
      <c r="Y33" s="12"/>
    </row>
    <row r="34" spans="1:25" ht="30" customHeight="1" x14ac:dyDescent="0.25">
      <c r="A34" s="145" t="s">
        <v>230</v>
      </c>
      <c r="B34" s="145" t="s">
        <v>361</v>
      </c>
      <c r="C34" s="145" t="s">
        <v>1036</v>
      </c>
      <c r="D34" s="145" t="s">
        <v>1026</v>
      </c>
      <c r="E34" s="168">
        <v>28.1</v>
      </c>
      <c r="F34" s="145" t="s">
        <v>4</v>
      </c>
      <c r="G34" s="6" t="s">
        <v>5</v>
      </c>
      <c r="H34" s="181" t="s">
        <v>738</v>
      </c>
      <c r="I34" s="6"/>
      <c r="J34" s="6" t="s">
        <v>194</v>
      </c>
      <c r="K34" s="5" t="s">
        <v>1449</v>
      </c>
      <c r="L34" s="12" t="s">
        <v>10</v>
      </c>
      <c r="M34" s="22" t="s">
        <v>7</v>
      </c>
      <c r="N34" s="22">
        <v>2250</v>
      </c>
      <c r="O34" s="22">
        <v>2125</v>
      </c>
      <c r="P34" s="49">
        <f t="shared" si="0"/>
        <v>4.78125</v>
      </c>
      <c r="Q34" s="12">
        <v>5.18</v>
      </c>
      <c r="R34" s="12">
        <v>1.1200000000000001</v>
      </c>
      <c r="S34" s="12">
        <v>23.1</v>
      </c>
      <c r="T34" s="12">
        <v>3</v>
      </c>
      <c r="U34" s="49">
        <f>S34*T34-P34-Q34-X34-Y34</f>
        <v>57.338750000000012</v>
      </c>
      <c r="V34" s="12"/>
      <c r="W34" s="12"/>
      <c r="X34" s="12">
        <v>2</v>
      </c>
      <c r="Y34" s="12"/>
    </row>
    <row r="35" spans="1:25" ht="30" customHeight="1" x14ac:dyDescent="0.25">
      <c r="A35" s="145" t="s">
        <v>230</v>
      </c>
      <c r="B35" s="145" t="s">
        <v>361</v>
      </c>
      <c r="C35" s="145" t="s">
        <v>1037</v>
      </c>
      <c r="D35" s="145" t="s">
        <v>1028</v>
      </c>
      <c r="E35" s="168">
        <v>4.9000000000000004</v>
      </c>
      <c r="F35" s="145" t="s">
        <v>4</v>
      </c>
      <c r="G35" s="6" t="s">
        <v>5</v>
      </c>
      <c r="H35" s="181" t="s">
        <v>738</v>
      </c>
      <c r="I35" s="6"/>
      <c r="J35" s="6" t="s">
        <v>194</v>
      </c>
      <c r="K35" s="5" t="s">
        <v>1449</v>
      </c>
      <c r="L35" s="12" t="s">
        <v>81</v>
      </c>
      <c r="M35" s="22" t="s">
        <v>7</v>
      </c>
      <c r="N35" s="22">
        <v>1125</v>
      </c>
      <c r="O35" s="22">
        <v>2125</v>
      </c>
      <c r="P35" s="49">
        <f t="shared" si="0"/>
        <v>2.390625</v>
      </c>
      <c r="Q35" s="12"/>
      <c r="R35" s="12"/>
      <c r="S35" s="12">
        <v>8.77</v>
      </c>
      <c r="T35" s="12">
        <v>2.6</v>
      </c>
      <c r="U35" s="24"/>
      <c r="V35" s="12"/>
      <c r="W35" s="12"/>
      <c r="X35" s="152">
        <f>S35*T35-P35-Q35-Y35</f>
        <v>20.411375</v>
      </c>
      <c r="Y35" s="12"/>
    </row>
    <row r="36" spans="1:25" ht="30" customHeight="1" x14ac:dyDescent="0.25">
      <c r="A36" s="145" t="s">
        <v>230</v>
      </c>
      <c r="B36" s="145" t="s">
        <v>361</v>
      </c>
      <c r="C36" s="145" t="s">
        <v>1038</v>
      </c>
      <c r="D36" s="145" t="s">
        <v>363</v>
      </c>
      <c r="E36" s="168">
        <v>24.1</v>
      </c>
      <c r="F36" s="145" t="s">
        <v>4</v>
      </c>
      <c r="G36" s="6" t="s">
        <v>5</v>
      </c>
      <c r="H36" s="181" t="s">
        <v>738</v>
      </c>
      <c r="I36" s="6"/>
      <c r="J36" s="6" t="s">
        <v>194</v>
      </c>
      <c r="K36" s="5" t="s">
        <v>1449</v>
      </c>
      <c r="L36" s="12" t="s">
        <v>10</v>
      </c>
      <c r="M36" s="22" t="s">
        <v>7</v>
      </c>
      <c r="N36" s="22">
        <v>2000</v>
      </c>
      <c r="O36" s="22">
        <v>2125</v>
      </c>
      <c r="P36" s="49">
        <f t="shared" si="0"/>
        <v>4.25</v>
      </c>
      <c r="Q36" s="12">
        <v>3.45</v>
      </c>
      <c r="R36" s="12">
        <v>2.25</v>
      </c>
      <c r="S36" s="12">
        <v>22.15</v>
      </c>
      <c r="T36" s="12">
        <v>3</v>
      </c>
      <c r="U36" s="35">
        <f>S36*T36-P36-Q36-X36-Y36</f>
        <v>56.749999999999986</v>
      </c>
      <c r="V36" s="12"/>
      <c r="W36" s="12"/>
      <c r="X36" s="12">
        <v>2</v>
      </c>
      <c r="Y36" s="12"/>
    </row>
    <row r="37" spans="1:25" ht="30" customHeight="1" x14ac:dyDescent="0.25">
      <c r="A37" s="145" t="s">
        <v>230</v>
      </c>
      <c r="B37" s="145" t="s">
        <v>361</v>
      </c>
      <c r="C37" s="145" t="s">
        <v>1039</v>
      </c>
      <c r="D37" s="145" t="s">
        <v>101</v>
      </c>
      <c r="E37" s="168">
        <v>3</v>
      </c>
      <c r="F37" s="145" t="s">
        <v>4</v>
      </c>
      <c r="G37" s="6" t="s">
        <v>5</v>
      </c>
      <c r="H37" s="181" t="s">
        <v>738</v>
      </c>
      <c r="I37" s="6"/>
      <c r="J37" s="6" t="s">
        <v>194</v>
      </c>
      <c r="K37" s="5" t="s">
        <v>1449</v>
      </c>
      <c r="L37" s="12" t="s">
        <v>81</v>
      </c>
      <c r="M37" s="22" t="s">
        <v>7</v>
      </c>
      <c r="N37" s="22">
        <v>875</v>
      </c>
      <c r="O37" s="22">
        <v>2125</v>
      </c>
      <c r="P37" s="49">
        <f t="shared" si="0"/>
        <v>1.859375</v>
      </c>
      <c r="Q37" s="12"/>
      <c r="R37" s="12"/>
      <c r="S37" s="12">
        <v>6.89</v>
      </c>
      <c r="T37" s="12">
        <v>2.6</v>
      </c>
      <c r="U37" s="24"/>
      <c r="V37" s="12"/>
      <c r="W37" s="12"/>
      <c r="X37" s="152">
        <f>S37*T37-P37-Q37-Y37</f>
        <v>16.054625000000001</v>
      </c>
      <c r="Y37" s="12"/>
    </row>
    <row r="38" spans="1:25" ht="30" customHeight="1" x14ac:dyDescent="0.25">
      <c r="A38" s="145" t="s">
        <v>230</v>
      </c>
      <c r="B38" s="145" t="s">
        <v>361</v>
      </c>
      <c r="C38" s="145" t="s">
        <v>1040</v>
      </c>
      <c r="D38" s="145" t="s">
        <v>363</v>
      </c>
      <c r="E38" s="168">
        <v>24</v>
      </c>
      <c r="F38" s="145" t="s">
        <v>4</v>
      </c>
      <c r="G38" s="6" t="s">
        <v>5</v>
      </c>
      <c r="H38" s="181" t="s">
        <v>738</v>
      </c>
      <c r="I38" s="6"/>
      <c r="J38" s="6" t="s">
        <v>194</v>
      </c>
      <c r="K38" s="5" t="s">
        <v>1449</v>
      </c>
      <c r="L38" s="12" t="s">
        <v>10</v>
      </c>
      <c r="M38" s="22" t="s">
        <v>7</v>
      </c>
      <c r="N38" s="22">
        <v>2000</v>
      </c>
      <c r="O38" s="22">
        <v>2125</v>
      </c>
      <c r="P38" s="49">
        <f t="shared" si="0"/>
        <v>4.25</v>
      </c>
      <c r="Q38" s="12">
        <v>4.1399999999999997</v>
      </c>
      <c r="R38" s="12">
        <v>1.1200000000000001</v>
      </c>
      <c r="S38" s="12">
        <v>21.91</v>
      </c>
      <c r="T38" s="12">
        <v>3</v>
      </c>
      <c r="U38" s="35">
        <f>S38*T38-P38-Q38-X38-Y38</f>
        <v>55.34</v>
      </c>
      <c r="V38" s="12"/>
      <c r="W38" s="12"/>
      <c r="X38" s="12">
        <v>2</v>
      </c>
      <c r="Y38" s="12"/>
    </row>
    <row r="39" spans="1:25" ht="30" customHeight="1" x14ac:dyDescent="0.25">
      <c r="A39" s="145" t="s">
        <v>230</v>
      </c>
      <c r="B39" s="145" t="s">
        <v>361</v>
      </c>
      <c r="C39" s="145" t="s">
        <v>1041</v>
      </c>
      <c r="D39" s="145" t="s">
        <v>101</v>
      </c>
      <c r="E39" s="168">
        <v>4.0999999999999996</v>
      </c>
      <c r="F39" s="145" t="s">
        <v>4</v>
      </c>
      <c r="G39" s="6" t="s">
        <v>5</v>
      </c>
      <c r="H39" s="181" t="s">
        <v>738</v>
      </c>
      <c r="I39" s="6"/>
      <c r="J39" s="6" t="s">
        <v>194</v>
      </c>
      <c r="K39" s="5" t="s">
        <v>1449</v>
      </c>
      <c r="L39" s="12" t="s">
        <v>81</v>
      </c>
      <c r="M39" s="22" t="s">
        <v>7</v>
      </c>
      <c r="N39" s="22">
        <v>875</v>
      </c>
      <c r="O39" s="22">
        <v>2125</v>
      </c>
      <c r="P39" s="49">
        <f t="shared" si="0"/>
        <v>1.859375</v>
      </c>
      <c r="Q39" s="12"/>
      <c r="R39" s="12"/>
      <c r="S39" s="12">
        <v>8.09</v>
      </c>
      <c r="T39" s="12">
        <v>2.6</v>
      </c>
      <c r="U39" s="24"/>
      <c r="V39" s="12"/>
      <c r="W39" s="12"/>
      <c r="X39" s="152">
        <f>S39*T39-P39-Q39-Y39</f>
        <v>19.174624999999999</v>
      </c>
      <c r="Y39" s="12"/>
    </row>
    <row r="40" spans="1:25" ht="30" customHeight="1" x14ac:dyDescent="0.25">
      <c r="A40" s="145" t="s">
        <v>230</v>
      </c>
      <c r="B40" s="145" t="s">
        <v>361</v>
      </c>
      <c r="C40" s="145" t="s">
        <v>1042</v>
      </c>
      <c r="D40" s="145" t="s">
        <v>366</v>
      </c>
      <c r="E40" s="168">
        <v>91.5</v>
      </c>
      <c r="F40" s="145" t="s">
        <v>4</v>
      </c>
      <c r="G40" s="6" t="s">
        <v>5</v>
      </c>
      <c r="H40" s="181" t="s">
        <v>738</v>
      </c>
      <c r="I40" s="6"/>
      <c r="J40" s="6" t="s">
        <v>194</v>
      </c>
      <c r="K40" s="5" t="s">
        <v>1449</v>
      </c>
      <c r="L40" s="12" t="s">
        <v>6</v>
      </c>
      <c r="M40" s="22" t="s">
        <v>7</v>
      </c>
      <c r="N40" s="22">
        <v>18000</v>
      </c>
      <c r="O40" s="22">
        <v>2125</v>
      </c>
      <c r="P40" s="49">
        <f t="shared" si="0"/>
        <v>38.25</v>
      </c>
      <c r="Q40" s="12">
        <v>6.9</v>
      </c>
      <c r="R40" s="12"/>
      <c r="S40" s="12">
        <v>66.5</v>
      </c>
      <c r="T40" s="12">
        <v>3</v>
      </c>
      <c r="U40" s="35">
        <f>S40*T40-P40-Q40-X40-Y40</f>
        <v>151.10999999999999</v>
      </c>
      <c r="V40" s="12"/>
      <c r="W40" s="12"/>
      <c r="X40" s="12"/>
      <c r="Y40" s="12">
        <v>3.24</v>
      </c>
    </row>
    <row r="41" spans="1:25" ht="30" customHeight="1" x14ac:dyDescent="0.25">
      <c r="A41" s="145" t="s">
        <v>230</v>
      </c>
      <c r="B41" s="145" t="s">
        <v>361</v>
      </c>
      <c r="C41" s="145" t="s">
        <v>1043</v>
      </c>
      <c r="D41" s="145" t="s">
        <v>363</v>
      </c>
      <c r="E41" s="168">
        <v>23.6</v>
      </c>
      <c r="F41" s="145" t="s">
        <v>4</v>
      </c>
      <c r="G41" s="6" t="s">
        <v>5</v>
      </c>
      <c r="H41" s="181" t="s">
        <v>738</v>
      </c>
      <c r="I41" s="6"/>
      <c r="J41" s="6" t="s">
        <v>194</v>
      </c>
      <c r="K41" s="5" t="s">
        <v>1449</v>
      </c>
      <c r="L41" s="12" t="s">
        <v>10</v>
      </c>
      <c r="M41" s="22" t="s">
        <v>7</v>
      </c>
      <c r="N41" s="22">
        <v>2000</v>
      </c>
      <c r="O41" s="22">
        <v>2125</v>
      </c>
      <c r="P41" s="49">
        <f t="shared" si="0"/>
        <v>4.25</v>
      </c>
      <c r="Q41" s="12">
        <v>6.9</v>
      </c>
      <c r="R41" s="12">
        <v>1.1200000000000001</v>
      </c>
      <c r="S41" s="12">
        <v>23.15</v>
      </c>
      <c r="T41" s="12">
        <v>3</v>
      </c>
      <c r="U41" s="49">
        <f>S41*T41-P41-Q41-X41-Y41</f>
        <v>56.29999999999999</v>
      </c>
      <c r="V41" s="12"/>
      <c r="W41" s="12"/>
      <c r="X41" s="12">
        <v>2</v>
      </c>
      <c r="Y41" s="12"/>
    </row>
    <row r="42" spans="1:25" ht="30" customHeight="1" x14ac:dyDescent="0.25">
      <c r="A42" s="145" t="s">
        <v>230</v>
      </c>
      <c r="B42" s="145" t="s">
        <v>361</v>
      </c>
      <c r="C42" s="145" t="s">
        <v>1044</v>
      </c>
      <c r="D42" s="145" t="s">
        <v>101</v>
      </c>
      <c r="E42" s="168">
        <v>3.5</v>
      </c>
      <c r="F42" s="145" t="s">
        <v>4</v>
      </c>
      <c r="G42" s="6" t="s">
        <v>5</v>
      </c>
      <c r="H42" s="181" t="s">
        <v>738</v>
      </c>
      <c r="I42" s="6"/>
      <c r="J42" s="6" t="s">
        <v>194</v>
      </c>
      <c r="K42" s="5" t="s">
        <v>1449</v>
      </c>
      <c r="L42" s="12" t="s">
        <v>81</v>
      </c>
      <c r="M42" s="22" t="s">
        <v>7</v>
      </c>
      <c r="N42" s="22">
        <v>875</v>
      </c>
      <c r="O42" s="22">
        <v>2125</v>
      </c>
      <c r="P42" s="49">
        <f t="shared" si="0"/>
        <v>1.859375</v>
      </c>
      <c r="Q42" s="12"/>
      <c r="R42" s="12"/>
      <c r="S42" s="12">
        <v>7.49</v>
      </c>
      <c r="T42" s="12">
        <v>2.6</v>
      </c>
      <c r="U42" s="24"/>
      <c r="V42" s="12"/>
      <c r="W42" s="12"/>
      <c r="X42" s="152">
        <f>S42*T42-P42-Q42-Y42</f>
        <v>17.614625</v>
      </c>
      <c r="Y42" s="12"/>
    </row>
    <row r="43" spans="1:25" ht="30" customHeight="1" x14ac:dyDescent="0.25">
      <c r="A43" s="145" t="s">
        <v>230</v>
      </c>
      <c r="B43" s="145" t="s">
        <v>361</v>
      </c>
      <c r="C43" s="145" t="s">
        <v>1045</v>
      </c>
      <c r="D43" s="145" t="s">
        <v>363</v>
      </c>
      <c r="E43" s="168">
        <v>22.5</v>
      </c>
      <c r="F43" s="145" t="s">
        <v>4</v>
      </c>
      <c r="G43" s="6" t="s">
        <v>5</v>
      </c>
      <c r="H43" s="181" t="s">
        <v>738</v>
      </c>
      <c r="I43" s="6"/>
      <c r="J43" s="6" t="s">
        <v>194</v>
      </c>
      <c r="K43" s="5" t="s">
        <v>1449</v>
      </c>
      <c r="L43" s="12" t="s">
        <v>10</v>
      </c>
      <c r="M43" s="22" t="s">
        <v>7</v>
      </c>
      <c r="N43" s="22">
        <v>2000</v>
      </c>
      <c r="O43" s="22">
        <v>2125</v>
      </c>
      <c r="P43" s="49">
        <f t="shared" si="0"/>
        <v>4.25</v>
      </c>
      <c r="Q43" s="12">
        <v>3.45</v>
      </c>
      <c r="R43" s="12">
        <v>2.25</v>
      </c>
      <c r="S43" s="12">
        <v>21.15</v>
      </c>
      <c r="T43" s="12">
        <v>3</v>
      </c>
      <c r="U43" s="35">
        <f>S43*T43-P43-Q43-X43-Y43</f>
        <v>53.749999999999993</v>
      </c>
      <c r="V43" s="12"/>
      <c r="W43" s="12"/>
      <c r="X43" s="12">
        <v>2</v>
      </c>
      <c r="Y43" s="12"/>
    </row>
    <row r="44" spans="1:25" ht="30" customHeight="1" x14ac:dyDescent="0.25">
      <c r="A44" s="145" t="s">
        <v>230</v>
      </c>
      <c r="B44" s="145" t="s">
        <v>361</v>
      </c>
      <c r="C44" s="145" t="s">
        <v>1046</v>
      </c>
      <c r="D44" s="145" t="s">
        <v>101</v>
      </c>
      <c r="E44" s="168">
        <v>3.5</v>
      </c>
      <c r="F44" s="145" t="s">
        <v>4</v>
      </c>
      <c r="G44" s="6" t="s">
        <v>5</v>
      </c>
      <c r="H44" s="181" t="s">
        <v>738</v>
      </c>
      <c r="I44" s="6"/>
      <c r="J44" s="6" t="s">
        <v>194</v>
      </c>
      <c r="K44" s="5" t="s">
        <v>1449</v>
      </c>
      <c r="L44" s="12" t="s">
        <v>81</v>
      </c>
      <c r="M44" s="22" t="s">
        <v>7</v>
      </c>
      <c r="N44" s="22">
        <v>875</v>
      </c>
      <c r="O44" s="22">
        <v>2125</v>
      </c>
      <c r="P44" s="49">
        <f t="shared" si="0"/>
        <v>1.859375</v>
      </c>
      <c r="Q44" s="12"/>
      <c r="R44" s="12"/>
      <c r="S44" s="12">
        <v>7.38</v>
      </c>
      <c r="T44" s="12">
        <v>2.6</v>
      </c>
      <c r="U44" s="24"/>
      <c r="V44" s="12"/>
      <c r="W44" s="12"/>
      <c r="X44" s="152">
        <f>S44*T44-P44-Q44-Y44</f>
        <v>17.328624999999999</v>
      </c>
      <c r="Y44" s="12"/>
    </row>
    <row r="45" spans="1:25" ht="30" customHeight="1" x14ac:dyDescent="0.25">
      <c r="A45" s="145" t="s">
        <v>230</v>
      </c>
      <c r="B45" s="145" t="s">
        <v>361</v>
      </c>
      <c r="C45" s="145" t="s">
        <v>1047</v>
      </c>
      <c r="D45" s="145" t="s">
        <v>363</v>
      </c>
      <c r="E45" s="168">
        <v>26.6</v>
      </c>
      <c r="F45" s="145" t="s">
        <v>4</v>
      </c>
      <c r="G45" s="6" t="s">
        <v>5</v>
      </c>
      <c r="H45" s="181" t="s">
        <v>738</v>
      </c>
      <c r="I45" s="6"/>
      <c r="J45" s="6" t="s">
        <v>194</v>
      </c>
      <c r="K45" s="5" t="s">
        <v>1449</v>
      </c>
      <c r="L45" s="12" t="s">
        <v>10</v>
      </c>
      <c r="M45" s="22" t="s">
        <v>7</v>
      </c>
      <c r="N45" s="22">
        <v>2000</v>
      </c>
      <c r="O45" s="22">
        <v>2125</v>
      </c>
      <c r="P45" s="49">
        <f t="shared" si="0"/>
        <v>4.25</v>
      </c>
      <c r="Q45" s="12">
        <v>6.21</v>
      </c>
      <c r="R45" s="12">
        <v>1.1200000000000001</v>
      </c>
      <c r="S45" s="12">
        <v>22.36</v>
      </c>
      <c r="T45" s="12">
        <v>3</v>
      </c>
      <c r="U45" s="35">
        <f>S45*T45-P45-Q45-X45-Y45</f>
        <v>54.62</v>
      </c>
      <c r="V45" s="12"/>
      <c r="W45" s="12"/>
      <c r="X45" s="12">
        <v>2</v>
      </c>
      <c r="Y45" s="12"/>
    </row>
    <row r="46" spans="1:25" ht="30" customHeight="1" x14ac:dyDescent="0.25">
      <c r="A46" s="145" t="s">
        <v>230</v>
      </c>
      <c r="B46" s="145" t="s">
        <v>361</v>
      </c>
      <c r="C46" s="145" t="s">
        <v>1048</v>
      </c>
      <c r="D46" s="145" t="s">
        <v>101</v>
      </c>
      <c r="E46" s="168">
        <v>4</v>
      </c>
      <c r="F46" s="145" t="s">
        <v>4</v>
      </c>
      <c r="G46" s="6" t="s">
        <v>5</v>
      </c>
      <c r="H46" s="181" t="s">
        <v>738</v>
      </c>
      <c r="I46" s="6"/>
      <c r="J46" s="6" t="s">
        <v>194</v>
      </c>
      <c r="K46" s="5" t="s">
        <v>1449</v>
      </c>
      <c r="L46" s="12" t="s">
        <v>81</v>
      </c>
      <c r="M46" s="22" t="s">
        <v>7</v>
      </c>
      <c r="N46" s="22">
        <v>875</v>
      </c>
      <c r="O46" s="22">
        <v>2125</v>
      </c>
      <c r="P46" s="49">
        <f t="shared" si="0"/>
        <v>1.859375</v>
      </c>
      <c r="Q46" s="12"/>
      <c r="R46" s="12"/>
      <c r="S46" s="12">
        <v>8.1</v>
      </c>
      <c r="T46" s="12">
        <v>2.6</v>
      </c>
      <c r="U46" s="24"/>
      <c r="V46" s="12"/>
      <c r="W46" s="12"/>
      <c r="X46" s="152">
        <f>S46*T46-P46-Q46-Y46</f>
        <v>19.200624999999999</v>
      </c>
      <c r="Y46" s="12"/>
    </row>
    <row r="47" spans="1:25" ht="30" customHeight="1" x14ac:dyDescent="0.25">
      <c r="A47" s="145" t="s">
        <v>230</v>
      </c>
      <c r="B47" s="145" t="s">
        <v>361</v>
      </c>
      <c r="C47" s="145" t="s">
        <v>1049</v>
      </c>
      <c r="D47" s="145" t="s">
        <v>363</v>
      </c>
      <c r="E47" s="168">
        <v>26.7</v>
      </c>
      <c r="F47" s="145" t="s">
        <v>4</v>
      </c>
      <c r="G47" s="6" t="s">
        <v>5</v>
      </c>
      <c r="H47" s="181" t="s">
        <v>738</v>
      </c>
      <c r="I47" s="6"/>
      <c r="J47" s="6" t="s">
        <v>194</v>
      </c>
      <c r="K47" s="5" t="s">
        <v>1449</v>
      </c>
      <c r="L47" s="12" t="s">
        <v>10</v>
      </c>
      <c r="M47" s="22" t="s">
        <v>7</v>
      </c>
      <c r="N47" s="22">
        <v>2000</v>
      </c>
      <c r="O47" s="22">
        <v>2125</v>
      </c>
      <c r="P47" s="49">
        <f t="shared" si="0"/>
        <v>4.25</v>
      </c>
      <c r="Q47" s="12">
        <v>5.52</v>
      </c>
      <c r="R47" s="12">
        <v>1.1200000000000001</v>
      </c>
      <c r="S47" s="12">
        <v>22.39</v>
      </c>
      <c r="T47" s="12">
        <v>3</v>
      </c>
      <c r="U47" s="35">
        <f>S47*T47-P47-Q47-X47-Y47</f>
        <v>55.400000000000006</v>
      </c>
      <c r="V47" s="12"/>
      <c r="W47" s="12"/>
      <c r="X47" s="12">
        <v>2</v>
      </c>
      <c r="Y47" s="12"/>
    </row>
    <row r="48" spans="1:25" ht="30" customHeight="1" x14ac:dyDescent="0.25">
      <c r="A48" s="145" t="s">
        <v>230</v>
      </c>
      <c r="B48" s="145" t="s">
        <v>361</v>
      </c>
      <c r="C48" s="145" t="s">
        <v>1050</v>
      </c>
      <c r="D48" s="145" t="s">
        <v>101</v>
      </c>
      <c r="E48" s="168">
        <v>4.5</v>
      </c>
      <c r="F48" s="145" t="s">
        <v>4</v>
      </c>
      <c r="G48" s="6" t="s">
        <v>5</v>
      </c>
      <c r="H48" s="181" t="s">
        <v>738</v>
      </c>
      <c r="I48" s="6"/>
      <c r="J48" s="6" t="s">
        <v>194</v>
      </c>
      <c r="K48" s="5" t="s">
        <v>1449</v>
      </c>
      <c r="L48" s="12" t="s">
        <v>81</v>
      </c>
      <c r="M48" s="22" t="s">
        <v>7</v>
      </c>
      <c r="N48" s="22">
        <v>875</v>
      </c>
      <c r="O48" s="22">
        <v>2125</v>
      </c>
      <c r="P48" s="49">
        <f t="shared" si="0"/>
        <v>1.859375</v>
      </c>
      <c r="Q48" s="12"/>
      <c r="R48" s="12"/>
      <c r="S48" s="12">
        <v>8.2899999999999991</v>
      </c>
      <c r="T48" s="12">
        <v>2.6</v>
      </c>
      <c r="U48" s="24"/>
      <c r="V48" s="12"/>
      <c r="W48" s="12"/>
      <c r="X48" s="152">
        <f>S48*T48-P48-Q48-Y48</f>
        <v>19.694624999999998</v>
      </c>
      <c r="Y48" s="12"/>
    </row>
    <row r="49" spans="1:25" ht="30" customHeight="1" x14ac:dyDescent="0.25">
      <c r="A49" s="145" t="s">
        <v>230</v>
      </c>
      <c r="B49" s="145" t="s">
        <v>361</v>
      </c>
      <c r="C49" s="145" t="s">
        <v>1051</v>
      </c>
      <c r="D49" s="145" t="s">
        <v>364</v>
      </c>
      <c r="E49" s="168">
        <v>23.4</v>
      </c>
      <c r="F49" s="145" t="s">
        <v>4</v>
      </c>
      <c r="G49" s="6" t="s">
        <v>5</v>
      </c>
      <c r="H49" s="181" t="s">
        <v>738</v>
      </c>
      <c r="I49" s="6"/>
      <c r="J49" s="6" t="s">
        <v>194</v>
      </c>
      <c r="K49" s="5" t="s">
        <v>1449</v>
      </c>
      <c r="L49" s="12" t="s">
        <v>10</v>
      </c>
      <c r="M49" s="22" t="s">
        <v>7</v>
      </c>
      <c r="N49" s="22">
        <v>2000</v>
      </c>
      <c r="O49" s="22">
        <v>2125</v>
      </c>
      <c r="P49" s="49">
        <f t="shared" si="0"/>
        <v>4.25</v>
      </c>
      <c r="Q49" s="12">
        <v>2.4</v>
      </c>
      <c r="R49" s="12">
        <v>1.2</v>
      </c>
      <c r="S49" s="12">
        <v>21.7</v>
      </c>
      <c r="T49" s="12">
        <v>3</v>
      </c>
      <c r="U49" s="35">
        <f>S49*T49-P49-Q49-X49-Y49</f>
        <v>56.449999999999996</v>
      </c>
      <c r="V49" s="12"/>
      <c r="W49" s="12"/>
      <c r="X49" s="12">
        <v>2</v>
      </c>
      <c r="Y49" s="12"/>
    </row>
    <row r="50" spans="1:25" ht="30" customHeight="1" x14ac:dyDescent="0.25">
      <c r="A50" s="145" t="s">
        <v>230</v>
      </c>
      <c r="B50" s="145" t="s">
        <v>361</v>
      </c>
      <c r="C50" s="145" t="s">
        <v>1052</v>
      </c>
      <c r="D50" s="145" t="s">
        <v>101</v>
      </c>
      <c r="E50" s="168">
        <v>2.9</v>
      </c>
      <c r="F50" s="145" t="s">
        <v>4</v>
      </c>
      <c r="G50" s="6" t="s">
        <v>5</v>
      </c>
      <c r="H50" s="181" t="s">
        <v>738</v>
      </c>
      <c r="I50" s="6"/>
      <c r="J50" s="6" t="s">
        <v>194</v>
      </c>
      <c r="K50" s="5" t="s">
        <v>1449</v>
      </c>
      <c r="L50" s="12" t="s">
        <v>6</v>
      </c>
      <c r="M50" s="22" t="s">
        <v>7</v>
      </c>
      <c r="N50" s="22">
        <v>875</v>
      </c>
      <c r="O50" s="22">
        <v>2125</v>
      </c>
      <c r="P50" s="49">
        <f t="shared" si="0"/>
        <v>1.859375</v>
      </c>
      <c r="Q50" s="12"/>
      <c r="R50" s="12"/>
      <c r="S50" s="12">
        <v>6.89</v>
      </c>
      <c r="T50" s="12">
        <v>2.6</v>
      </c>
      <c r="U50" s="24"/>
      <c r="V50" s="12"/>
      <c r="W50" s="12"/>
      <c r="X50" s="152">
        <f>S50*T50-P50-Q50-Y50</f>
        <v>16.054625000000001</v>
      </c>
      <c r="Y50" s="12"/>
    </row>
    <row r="51" spans="1:25" ht="30" customHeight="1" x14ac:dyDescent="0.25">
      <c r="A51" s="145" t="s">
        <v>230</v>
      </c>
      <c r="B51" s="145" t="s">
        <v>361</v>
      </c>
      <c r="C51" s="145" t="s">
        <v>1053</v>
      </c>
      <c r="D51" s="145" t="s">
        <v>55</v>
      </c>
      <c r="E51" s="168">
        <v>70</v>
      </c>
      <c r="F51" s="145" t="s">
        <v>4</v>
      </c>
      <c r="G51" s="6" t="s">
        <v>5</v>
      </c>
      <c r="H51" s="181" t="s">
        <v>738</v>
      </c>
      <c r="I51" s="6"/>
      <c r="J51" s="6" t="s">
        <v>194</v>
      </c>
      <c r="K51" s="5" t="s">
        <v>1449</v>
      </c>
      <c r="L51" s="12" t="s">
        <v>6</v>
      </c>
      <c r="M51" s="22" t="s">
        <v>7</v>
      </c>
      <c r="N51" s="22">
        <v>20425</v>
      </c>
      <c r="O51" s="22">
        <v>2125</v>
      </c>
      <c r="P51" s="49">
        <f t="shared" si="0"/>
        <v>43.403124999999996</v>
      </c>
      <c r="Q51" s="12"/>
      <c r="R51" s="12"/>
      <c r="S51" s="12">
        <v>62.69</v>
      </c>
      <c r="T51" s="12">
        <v>2.7</v>
      </c>
      <c r="U51" s="35">
        <f>S51*T51-P51-Q51-X51-Y51</f>
        <v>125.85987500000002</v>
      </c>
      <c r="V51" s="12"/>
      <c r="W51" s="12"/>
      <c r="X51" s="12"/>
      <c r="Y51" s="12"/>
    </row>
    <row r="52" spans="1:25" ht="30" customHeight="1" x14ac:dyDescent="0.25">
      <c r="A52" s="145" t="s">
        <v>230</v>
      </c>
      <c r="B52" s="145" t="s">
        <v>361</v>
      </c>
      <c r="C52" s="145" t="s">
        <v>1054</v>
      </c>
      <c r="D52" s="145" t="s">
        <v>364</v>
      </c>
      <c r="E52" s="168">
        <v>16.8</v>
      </c>
      <c r="F52" s="145" t="s">
        <v>4</v>
      </c>
      <c r="G52" s="6" t="s">
        <v>5</v>
      </c>
      <c r="H52" s="181" t="s">
        <v>738</v>
      </c>
      <c r="I52" s="6"/>
      <c r="J52" s="6" t="s">
        <v>194</v>
      </c>
      <c r="K52" s="5" t="s">
        <v>1449</v>
      </c>
      <c r="L52" s="12" t="s">
        <v>10</v>
      </c>
      <c r="M52" s="22" t="s">
        <v>7</v>
      </c>
      <c r="N52" s="22">
        <v>2000</v>
      </c>
      <c r="O52" s="22">
        <v>2125</v>
      </c>
      <c r="P52" s="49">
        <f t="shared" si="0"/>
        <v>4.25</v>
      </c>
      <c r="Q52" s="12">
        <v>2.4</v>
      </c>
      <c r="R52" s="12">
        <v>1.2</v>
      </c>
      <c r="S52" s="12">
        <v>16.98</v>
      </c>
      <c r="T52" s="12">
        <v>3</v>
      </c>
      <c r="U52" s="49">
        <f>S52*T52-P52-Q52-X52-Y52</f>
        <v>42.29</v>
      </c>
      <c r="V52" s="12"/>
      <c r="W52" s="12"/>
      <c r="X52" s="12">
        <v>2</v>
      </c>
      <c r="Y52" s="12"/>
    </row>
    <row r="53" spans="1:25" ht="30" customHeight="1" x14ac:dyDescent="0.25">
      <c r="A53" s="145" t="s">
        <v>230</v>
      </c>
      <c r="B53" s="145" t="s">
        <v>361</v>
      </c>
      <c r="C53" s="145" t="s">
        <v>1055</v>
      </c>
      <c r="D53" s="145" t="s">
        <v>101</v>
      </c>
      <c r="E53" s="168">
        <v>2.8</v>
      </c>
      <c r="F53" s="145" t="s">
        <v>4</v>
      </c>
      <c r="G53" s="6" t="s">
        <v>5</v>
      </c>
      <c r="H53" s="181" t="s">
        <v>738</v>
      </c>
      <c r="I53" s="6"/>
      <c r="J53" s="6" t="s">
        <v>194</v>
      </c>
      <c r="K53" s="5" t="s">
        <v>1449</v>
      </c>
      <c r="L53" s="12" t="s">
        <v>81</v>
      </c>
      <c r="M53" s="22" t="s">
        <v>7</v>
      </c>
      <c r="N53" s="22">
        <v>875</v>
      </c>
      <c r="O53" s="22">
        <v>2125</v>
      </c>
      <c r="P53" s="49">
        <f t="shared" si="0"/>
        <v>1.859375</v>
      </c>
      <c r="Q53" s="12"/>
      <c r="R53" s="12"/>
      <c r="S53" s="12">
        <v>6.74</v>
      </c>
      <c r="T53" s="12">
        <v>2.6</v>
      </c>
      <c r="U53" s="24"/>
      <c r="V53" s="12"/>
      <c r="W53" s="12"/>
      <c r="X53" s="152">
        <f>S53*T53-P53-Q53-Y53</f>
        <v>15.664625000000001</v>
      </c>
      <c r="Y53" s="12"/>
    </row>
    <row r="54" spans="1:25" ht="30" customHeight="1" x14ac:dyDescent="0.25">
      <c r="A54" s="145" t="s">
        <v>230</v>
      </c>
      <c r="B54" s="145" t="s">
        <v>361</v>
      </c>
      <c r="C54" s="145" t="s">
        <v>1056</v>
      </c>
      <c r="D54" s="145" t="s">
        <v>364</v>
      </c>
      <c r="E54" s="168">
        <v>16.3</v>
      </c>
      <c r="F54" s="145" t="s">
        <v>4</v>
      </c>
      <c r="G54" s="6" t="s">
        <v>5</v>
      </c>
      <c r="H54" s="181" t="s">
        <v>738</v>
      </c>
      <c r="I54" s="6"/>
      <c r="J54" s="6" t="s">
        <v>194</v>
      </c>
      <c r="K54" s="5" t="s">
        <v>1449</v>
      </c>
      <c r="L54" s="12" t="s">
        <v>10</v>
      </c>
      <c r="M54" s="22" t="s">
        <v>7</v>
      </c>
      <c r="N54" s="22">
        <v>2000</v>
      </c>
      <c r="O54" s="22">
        <v>2125</v>
      </c>
      <c r="P54" s="49">
        <f t="shared" si="0"/>
        <v>4.25</v>
      </c>
      <c r="Q54" s="12">
        <v>2.4</v>
      </c>
      <c r="R54" s="12">
        <v>1.2</v>
      </c>
      <c r="S54" s="12">
        <v>16.82</v>
      </c>
      <c r="T54" s="12">
        <v>3</v>
      </c>
      <c r="U54" s="35">
        <f>S54*T54-P54-Q54-X54-Y54</f>
        <v>41.81</v>
      </c>
      <c r="V54" s="12"/>
      <c r="W54" s="12"/>
      <c r="X54" s="12">
        <v>2</v>
      </c>
      <c r="Y54" s="12"/>
    </row>
    <row r="55" spans="1:25" ht="30" customHeight="1" x14ac:dyDescent="0.25">
      <c r="A55" s="145" t="s">
        <v>230</v>
      </c>
      <c r="B55" s="145" t="s">
        <v>361</v>
      </c>
      <c r="C55" s="145" t="s">
        <v>1057</v>
      </c>
      <c r="D55" s="145" t="s">
        <v>101</v>
      </c>
      <c r="E55" s="168">
        <v>2.8</v>
      </c>
      <c r="F55" s="145" t="s">
        <v>4</v>
      </c>
      <c r="G55" s="6" t="s">
        <v>5</v>
      </c>
      <c r="H55" s="181" t="s">
        <v>738</v>
      </c>
      <c r="I55" s="6"/>
      <c r="J55" s="6" t="s">
        <v>194</v>
      </c>
      <c r="K55" s="5" t="s">
        <v>1449</v>
      </c>
      <c r="L55" s="12" t="s">
        <v>81</v>
      </c>
      <c r="M55" s="22" t="s">
        <v>7</v>
      </c>
      <c r="N55" s="22">
        <v>875</v>
      </c>
      <c r="O55" s="22">
        <v>2125</v>
      </c>
      <c r="P55" s="49">
        <f t="shared" si="0"/>
        <v>1.859375</v>
      </c>
      <c r="Q55" s="12"/>
      <c r="R55" s="12"/>
      <c r="S55" s="12">
        <v>6.61</v>
      </c>
      <c r="T55" s="12">
        <v>2.6</v>
      </c>
      <c r="U55" s="24"/>
      <c r="V55" s="12"/>
      <c r="W55" s="12"/>
      <c r="X55" s="152">
        <f>S55*T55-P55-Q55-Y55</f>
        <v>15.326625</v>
      </c>
      <c r="Y55" s="12"/>
    </row>
    <row r="56" spans="1:25" ht="30" customHeight="1" x14ac:dyDescent="0.25">
      <c r="A56" s="145" t="s">
        <v>230</v>
      </c>
      <c r="B56" s="145" t="s">
        <v>361</v>
      </c>
      <c r="C56" s="145" t="s">
        <v>1058</v>
      </c>
      <c r="D56" s="145" t="s">
        <v>364</v>
      </c>
      <c r="E56" s="168">
        <v>16.3</v>
      </c>
      <c r="F56" s="145" t="s">
        <v>4</v>
      </c>
      <c r="G56" s="6" t="s">
        <v>5</v>
      </c>
      <c r="H56" s="181" t="s">
        <v>738</v>
      </c>
      <c r="I56" s="6"/>
      <c r="J56" s="6" t="s">
        <v>194</v>
      </c>
      <c r="K56" s="5" t="s">
        <v>1449</v>
      </c>
      <c r="L56" s="12" t="s">
        <v>10</v>
      </c>
      <c r="M56" s="22" t="s">
        <v>7</v>
      </c>
      <c r="N56" s="22">
        <v>2000</v>
      </c>
      <c r="O56" s="22">
        <v>2125</v>
      </c>
      <c r="P56" s="49">
        <f t="shared" si="0"/>
        <v>4.25</v>
      </c>
      <c r="Q56" s="12">
        <v>1.8</v>
      </c>
      <c r="R56" s="12">
        <v>0.9</v>
      </c>
      <c r="S56" s="12">
        <v>17.22</v>
      </c>
      <c r="T56" s="12">
        <v>3</v>
      </c>
      <c r="U56" s="35">
        <f>S56*T56-P56-Q56-X56-Y56</f>
        <v>43.61</v>
      </c>
      <c r="V56" s="12"/>
      <c r="W56" s="12"/>
      <c r="X56" s="12">
        <v>2</v>
      </c>
      <c r="Y56" s="12"/>
    </row>
    <row r="57" spans="1:25" ht="30" customHeight="1" x14ac:dyDescent="0.25">
      <c r="A57" s="145" t="s">
        <v>230</v>
      </c>
      <c r="B57" s="145" t="s">
        <v>361</v>
      </c>
      <c r="C57" s="145" t="s">
        <v>1059</v>
      </c>
      <c r="D57" s="145" t="s">
        <v>101</v>
      </c>
      <c r="E57" s="168">
        <v>2.6</v>
      </c>
      <c r="F57" s="145" t="s">
        <v>4</v>
      </c>
      <c r="G57" s="6" t="s">
        <v>5</v>
      </c>
      <c r="H57" s="181" t="s">
        <v>738</v>
      </c>
      <c r="I57" s="6"/>
      <c r="J57" s="6" t="s">
        <v>194</v>
      </c>
      <c r="K57" s="5" t="s">
        <v>1449</v>
      </c>
      <c r="L57" s="12" t="s">
        <v>81</v>
      </c>
      <c r="M57" s="22" t="s">
        <v>7</v>
      </c>
      <c r="N57" s="22">
        <v>875</v>
      </c>
      <c r="O57" s="22">
        <v>2125</v>
      </c>
      <c r="P57" s="49">
        <f t="shared" si="0"/>
        <v>1.859375</v>
      </c>
      <c r="Q57" s="12"/>
      <c r="R57" s="12"/>
      <c r="S57" s="12">
        <v>6.77</v>
      </c>
      <c r="T57" s="12">
        <v>2.6</v>
      </c>
      <c r="U57" s="24"/>
      <c r="V57" s="12"/>
      <c r="W57" s="12"/>
      <c r="X57" s="152">
        <f>S57*T57-P57-Q57-Y57</f>
        <v>15.742625</v>
      </c>
      <c r="Y57" s="12"/>
    </row>
    <row r="58" spans="1:25" ht="30" customHeight="1" x14ac:dyDescent="0.25">
      <c r="A58" s="145" t="s">
        <v>230</v>
      </c>
      <c r="B58" s="145" t="s">
        <v>361</v>
      </c>
      <c r="C58" s="145" t="s">
        <v>1060</v>
      </c>
      <c r="D58" s="145" t="s">
        <v>364</v>
      </c>
      <c r="E58" s="168">
        <v>16.2</v>
      </c>
      <c r="F58" s="145" t="s">
        <v>4</v>
      </c>
      <c r="G58" s="6" t="s">
        <v>5</v>
      </c>
      <c r="H58" s="181" t="s">
        <v>738</v>
      </c>
      <c r="I58" s="6"/>
      <c r="J58" s="6" t="s">
        <v>194</v>
      </c>
      <c r="K58" s="5" t="s">
        <v>1449</v>
      </c>
      <c r="L58" s="12" t="s">
        <v>10</v>
      </c>
      <c r="M58" s="22" t="s">
        <v>7</v>
      </c>
      <c r="N58" s="22">
        <v>2000</v>
      </c>
      <c r="O58" s="22">
        <v>2125</v>
      </c>
      <c r="P58" s="49">
        <f t="shared" si="0"/>
        <v>4.25</v>
      </c>
      <c r="Q58" s="12">
        <v>2.4</v>
      </c>
      <c r="R58" s="12">
        <v>1.2</v>
      </c>
      <c r="S58" s="12">
        <v>16.72</v>
      </c>
      <c r="T58" s="12">
        <v>3</v>
      </c>
      <c r="U58" s="35">
        <f>S58*T58-P58-Q58-X58-Y58</f>
        <v>41.51</v>
      </c>
      <c r="V58" s="12"/>
      <c r="W58" s="12"/>
      <c r="X58" s="12">
        <v>2</v>
      </c>
      <c r="Y58" s="12"/>
    </row>
    <row r="59" spans="1:25" ht="30" customHeight="1" x14ac:dyDescent="0.25">
      <c r="A59" s="145" t="s">
        <v>230</v>
      </c>
      <c r="B59" s="145" t="s">
        <v>361</v>
      </c>
      <c r="C59" s="145" t="s">
        <v>1061</v>
      </c>
      <c r="D59" s="145" t="s">
        <v>101</v>
      </c>
      <c r="E59" s="168">
        <v>2.8</v>
      </c>
      <c r="F59" s="145" t="s">
        <v>4</v>
      </c>
      <c r="G59" s="6" t="s">
        <v>5</v>
      </c>
      <c r="H59" s="181" t="s">
        <v>738</v>
      </c>
      <c r="I59" s="6"/>
      <c r="J59" s="6" t="s">
        <v>194</v>
      </c>
      <c r="K59" s="5" t="s">
        <v>1449</v>
      </c>
      <c r="L59" s="12" t="s">
        <v>81</v>
      </c>
      <c r="M59" s="22" t="s">
        <v>7</v>
      </c>
      <c r="N59" s="22">
        <v>875</v>
      </c>
      <c r="O59" s="22">
        <v>2125</v>
      </c>
      <c r="P59" s="49">
        <f t="shared" si="0"/>
        <v>1.859375</v>
      </c>
      <c r="Q59" s="12"/>
      <c r="R59" s="12"/>
      <c r="S59" s="12">
        <v>6.79</v>
      </c>
      <c r="T59" s="12">
        <v>2.6</v>
      </c>
      <c r="U59" s="24"/>
      <c r="V59" s="12"/>
      <c r="W59" s="12"/>
      <c r="X59" s="152">
        <f>S59*T59-P59-Q59-Y59</f>
        <v>15.794625</v>
      </c>
      <c r="Y59" s="12"/>
    </row>
    <row r="60" spans="1:25" ht="30" customHeight="1" x14ac:dyDescent="0.25">
      <c r="A60" s="145" t="s">
        <v>230</v>
      </c>
      <c r="B60" s="145" t="s">
        <v>361</v>
      </c>
      <c r="C60" s="145" t="s">
        <v>1062</v>
      </c>
      <c r="D60" s="145" t="s">
        <v>364</v>
      </c>
      <c r="E60" s="168">
        <v>16.2</v>
      </c>
      <c r="F60" s="145" t="s">
        <v>4</v>
      </c>
      <c r="G60" s="6" t="s">
        <v>5</v>
      </c>
      <c r="H60" s="181" t="s">
        <v>738</v>
      </c>
      <c r="I60" s="6"/>
      <c r="J60" s="6" t="s">
        <v>194</v>
      </c>
      <c r="K60" s="5" t="s">
        <v>1449</v>
      </c>
      <c r="L60" s="12" t="s">
        <v>10</v>
      </c>
      <c r="M60" s="22" t="s">
        <v>7</v>
      </c>
      <c r="N60" s="22">
        <v>2000</v>
      </c>
      <c r="O60" s="22">
        <v>2125</v>
      </c>
      <c r="P60" s="49">
        <f t="shared" si="0"/>
        <v>4.25</v>
      </c>
      <c r="Q60" s="12">
        <v>2.4</v>
      </c>
      <c r="R60" s="12">
        <v>1.2</v>
      </c>
      <c r="S60" s="12">
        <v>16.72</v>
      </c>
      <c r="T60" s="12">
        <v>3</v>
      </c>
      <c r="U60" s="35">
        <f>S60*T60-P60-Q60-X60-Y60</f>
        <v>41.51</v>
      </c>
      <c r="V60" s="12"/>
      <c r="W60" s="12"/>
      <c r="X60" s="12">
        <v>2</v>
      </c>
      <c r="Y60" s="12"/>
    </row>
    <row r="61" spans="1:25" ht="30" customHeight="1" x14ac:dyDescent="0.25">
      <c r="A61" s="145" t="s">
        <v>230</v>
      </c>
      <c r="B61" s="145" t="s">
        <v>361</v>
      </c>
      <c r="C61" s="145" t="s">
        <v>1063</v>
      </c>
      <c r="D61" s="145" t="s">
        <v>101</v>
      </c>
      <c r="E61" s="168">
        <v>2.8</v>
      </c>
      <c r="F61" s="145" t="s">
        <v>4</v>
      </c>
      <c r="G61" s="6" t="s">
        <v>5</v>
      </c>
      <c r="H61" s="181" t="s">
        <v>738</v>
      </c>
      <c r="I61" s="6"/>
      <c r="J61" s="6" t="s">
        <v>194</v>
      </c>
      <c r="K61" s="5" t="s">
        <v>1449</v>
      </c>
      <c r="L61" s="12" t="s">
        <v>81</v>
      </c>
      <c r="M61" s="22" t="s">
        <v>7</v>
      </c>
      <c r="N61" s="22">
        <v>875</v>
      </c>
      <c r="O61" s="22">
        <v>2125</v>
      </c>
      <c r="P61" s="49">
        <f t="shared" si="0"/>
        <v>1.859375</v>
      </c>
      <c r="Q61" s="12"/>
      <c r="R61" s="12"/>
      <c r="S61" s="12">
        <v>6.79</v>
      </c>
      <c r="T61" s="12">
        <v>2.6</v>
      </c>
      <c r="U61" s="24"/>
      <c r="V61" s="12"/>
      <c r="W61" s="12"/>
      <c r="X61" s="152">
        <f>S61*T61-P61-Q61-Y61</f>
        <v>15.794625</v>
      </c>
      <c r="Y61" s="12"/>
    </row>
    <row r="62" spans="1:25" ht="30" customHeight="1" x14ac:dyDescent="0.25">
      <c r="A62" s="145" t="s">
        <v>230</v>
      </c>
      <c r="B62" s="145" t="s">
        <v>361</v>
      </c>
      <c r="C62" s="145" t="s">
        <v>1064</v>
      </c>
      <c r="D62" s="145" t="s">
        <v>364</v>
      </c>
      <c r="E62" s="168">
        <v>16.2</v>
      </c>
      <c r="F62" s="145" t="s">
        <v>4</v>
      </c>
      <c r="G62" s="6" t="s">
        <v>5</v>
      </c>
      <c r="H62" s="181" t="s">
        <v>738</v>
      </c>
      <c r="I62" s="6"/>
      <c r="J62" s="6" t="s">
        <v>194</v>
      </c>
      <c r="K62" s="5" t="s">
        <v>1449</v>
      </c>
      <c r="L62" s="12" t="s">
        <v>10</v>
      </c>
      <c r="M62" s="22" t="s">
        <v>7</v>
      </c>
      <c r="N62" s="22">
        <v>2000</v>
      </c>
      <c r="O62" s="22">
        <v>2125</v>
      </c>
      <c r="P62" s="49">
        <f t="shared" si="0"/>
        <v>4.25</v>
      </c>
      <c r="Q62" s="12">
        <v>1.8</v>
      </c>
      <c r="R62" s="12">
        <v>0.9</v>
      </c>
      <c r="S62" s="12">
        <v>16.82</v>
      </c>
      <c r="T62" s="12">
        <v>3</v>
      </c>
      <c r="U62" s="35">
        <f>S62*T62-P62-Q62-X62-Y62</f>
        <v>42.410000000000004</v>
      </c>
      <c r="V62" s="12"/>
      <c r="W62" s="12"/>
      <c r="X62" s="12">
        <v>2</v>
      </c>
      <c r="Y62" s="12"/>
    </row>
    <row r="63" spans="1:25" ht="30" customHeight="1" x14ac:dyDescent="0.25">
      <c r="A63" s="145" t="s">
        <v>230</v>
      </c>
      <c r="B63" s="145" t="s">
        <v>361</v>
      </c>
      <c r="C63" s="145" t="s">
        <v>1065</v>
      </c>
      <c r="D63" s="145" t="s">
        <v>101</v>
      </c>
      <c r="E63" s="168">
        <v>2.7</v>
      </c>
      <c r="F63" s="145" t="s">
        <v>4</v>
      </c>
      <c r="G63" s="6" t="s">
        <v>5</v>
      </c>
      <c r="H63" s="181" t="s">
        <v>738</v>
      </c>
      <c r="I63" s="6"/>
      <c r="J63" s="6" t="s">
        <v>194</v>
      </c>
      <c r="K63" s="5" t="s">
        <v>1449</v>
      </c>
      <c r="L63" s="12" t="s">
        <v>81</v>
      </c>
      <c r="M63" s="22" t="s">
        <v>7</v>
      </c>
      <c r="N63" s="22">
        <v>875</v>
      </c>
      <c r="O63" s="22">
        <v>2125</v>
      </c>
      <c r="P63" s="49">
        <f t="shared" si="0"/>
        <v>1.859375</v>
      </c>
      <c r="Q63" s="12"/>
      <c r="R63" s="12"/>
      <c r="S63" s="12">
        <v>6.69</v>
      </c>
      <c r="T63" s="12">
        <v>2.6</v>
      </c>
      <c r="U63" s="24"/>
      <c r="V63" s="12"/>
      <c r="W63" s="12"/>
      <c r="X63" s="152">
        <f>S63*T63-P63-Q63-Y63</f>
        <v>15.534625000000002</v>
      </c>
      <c r="Y63" s="12"/>
    </row>
    <row r="64" spans="1:25" ht="30" customHeight="1" x14ac:dyDescent="0.25">
      <c r="A64" s="145" t="s">
        <v>230</v>
      </c>
      <c r="B64" s="145" t="s">
        <v>361</v>
      </c>
      <c r="C64" s="145" t="s">
        <v>1066</v>
      </c>
      <c r="D64" s="145" t="s">
        <v>364</v>
      </c>
      <c r="E64" s="168">
        <v>16.3</v>
      </c>
      <c r="F64" s="145" t="s">
        <v>4</v>
      </c>
      <c r="G64" s="6" t="s">
        <v>5</v>
      </c>
      <c r="H64" s="181" t="s">
        <v>738</v>
      </c>
      <c r="I64" s="6"/>
      <c r="J64" s="6" t="s">
        <v>194</v>
      </c>
      <c r="K64" s="5" t="s">
        <v>1449</v>
      </c>
      <c r="L64" s="12" t="s">
        <v>10</v>
      </c>
      <c r="M64" s="22" t="s">
        <v>7</v>
      </c>
      <c r="N64" s="22">
        <v>2000</v>
      </c>
      <c r="O64" s="22">
        <v>2125</v>
      </c>
      <c r="P64" s="49">
        <f t="shared" si="0"/>
        <v>4.25</v>
      </c>
      <c r="Q64" s="12">
        <v>2.4</v>
      </c>
      <c r="R64" s="12">
        <v>1.2</v>
      </c>
      <c r="S64" s="12">
        <v>16.82</v>
      </c>
      <c r="T64" s="12">
        <v>3</v>
      </c>
      <c r="U64" s="35">
        <f>S64*T64-P64-Q64-X64-Y64</f>
        <v>41.81</v>
      </c>
      <c r="V64" s="12"/>
      <c r="W64" s="12"/>
      <c r="X64" s="12">
        <v>2</v>
      </c>
      <c r="Y64" s="12"/>
    </row>
    <row r="65" spans="1:25" ht="30" customHeight="1" x14ac:dyDescent="0.25">
      <c r="A65" s="145" t="s">
        <v>230</v>
      </c>
      <c r="B65" s="145" t="s">
        <v>361</v>
      </c>
      <c r="C65" s="145" t="s">
        <v>1067</v>
      </c>
      <c r="D65" s="145" t="s">
        <v>101</v>
      </c>
      <c r="E65" s="168">
        <v>2.7</v>
      </c>
      <c r="F65" s="145" t="s">
        <v>4</v>
      </c>
      <c r="G65" s="6" t="s">
        <v>5</v>
      </c>
      <c r="H65" s="181" t="s">
        <v>738</v>
      </c>
      <c r="I65" s="6"/>
      <c r="J65" s="6" t="s">
        <v>194</v>
      </c>
      <c r="K65" s="5" t="s">
        <v>1449</v>
      </c>
      <c r="L65" s="12" t="s">
        <v>81</v>
      </c>
      <c r="M65" s="22" t="s">
        <v>7</v>
      </c>
      <c r="N65" s="22">
        <v>875</v>
      </c>
      <c r="O65" s="22">
        <v>2125</v>
      </c>
      <c r="P65" s="49">
        <f t="shared" si="0"/>
        <v>1.859375</v>
      </c>
      <c r="Q65" s="12"/>
      <c r="R65" s="12"/>
      <c r="S65" s="12">
        <v>6.69</v>
      </c>
      <c r="T65" s="12">
        <v>2.6</v>
      </c>
      <c r="U65" s="24"/>
      <c r="V65" s="12"/>
      <c r="W65" s="12"/>
      <c r="X65" s="152">
        <f>S65*T65-P65-Q65-Y65</f>
        <v>15.534625000000002</v>
      </c>
      <c r="Y65" s="12"/>
    </row>
    <row r="66" spans="1:25" ht="30" customHeight="1" x14ac:dyDescent="0.25">
      <c r="A66" s="145" t="s">
        <v>230</v>
      </c>
      <c r="B66" s="145" t="s">
        <v>361</v>
      </c>
      <c r="C66" s="145" t="s">
        <v>1068</v>
      </c>
      <c r="D66" s="145" t="s">
        <v>364</v>
      </c>
      <c r="E66" s="168">
        <v>17.7</v>
      </c>
      <c r="F66" s="145" t="s">
        <v>4</v>
      </c>
      <c r="G66" s="6" t="s">
        <v>5</v>
      </c>
      <c r="H66" s="181" t="s">
        <v>738</v>
      </c>
      <c r="I66" s="6"/>
      <c r="J66" s="6" t="s">
        <v>194</v>
      </c>
      <c r="K66" s="5" t="s">
        <v>1449</v>
      </c>
      <c r="L66" s="12" t="s">
        <v>10</v>
      </c>
      <c r="M66" s="22" t="s">
        <v>7</v>
      </c>
      <c r="N66" s="22">
        <v>2000</v>
      </c>
      <c r="O66" s="22">
        <v>2125</v>
      </c>
      <c r="P66" s="49">
        <f t="shared" si="0"/>
        <v>4.25</v>
      </c>
      <c r="Q66" s="12">
        <v>2.4</v>
      </c>
      <c r="R66" s="12">
        <v>1.2</v>
      </c>
      <c r="S66" s="12">
        <v>17.37</v>
      </c>
      <c r="T66" s="12">
        <v>3</v>
      </c>
      <c r="U66" s="35">
        <f>S66*T66-P66-Q66-X66-Y66</f>
        <v>43.46</v>
      </c>
      <c r="V66" s="12"/>
      <c r="W66" s="12"/>
      <c r="X66" s="12">
        <v>2</v>
      </c>
      <c r="Y66" s="12"/>
    </row>
    <row r="67" spans="1:25" ht="30" customHeight="1" x14ac:dyDescent="0.25">
      <c r="A67" s="145" t="s">
        <v>230</v>
      </c>
      <c r="B67" s="145" t="s">
        <v>361</v>
      </c>
      <c r="C67" s="145" t="s">
        <v>1069</v>
      </c>
      <c r="D67" s="145" t="s">
        <v>101</v>
      </c>
      <c r="E67" s="168">
        <v>2.5</v>
      </c>
      <c r="F67" s="145" t="s">
        <v>4</v>
      </c>
      <c r="G67" s="6" t="s">
        <v>5</v>
      </c>
      <c r="H67" s="181" t="s">
        <v>738</v>
      </c>
      <c r="I67" s="6"/>
      <c r="J67" s="6" t="s">
        <v>194</v>
      </c>
      <c r="K67" s="5" t="s">
        <v>1449</v>
      </c>
      <c r="L67" s="12" t="s">
        <v>81</v>
      </c>
      <c r="M67" s="22" t="s">
        <v>7</v>
      </c>
      <c r="N67" s="22">
        <v>875</v>
      </c>
      <c r="O67" s="22">
        <v>2125</v>
      </c>
      <c r="P67" s="49">
        <f t="shared" si="0"/>
        <v>1.859375</v>
      </c>
      <c r="Q67" s="12"/>
      <c r="R67" s="12"/>
      <c r="S67" s="12">
        <v>6.39</v>
      </c>
      <c r="T67" s="12">
        <v>2.6</v>
      </c>
      <c r="U67" s="24"/>
      <c r="V67" s="12"/>
      <c r="W67" s="12"/>
      <c r="X67" s="152">
        <f>S67*T67-P67-Q67-Y67</f>
        <v>14.754625000000001</v>
      </c>
      <c r="Y67" s="12"/>
    </row>
    <row r="68" spans="1:25" ht="30" customHeight="1" x14ac:dyDescent="0.25">
      <c r="A68" s="145" t="s">
        <v>230</v>
      </c>
      <c r="B68" s="145" t="s">
        <v>361</v>
      </c>
      <c r="C68" s="145" t="s">
        <v>1070</v>
      </c>
      <c r="D68" s="145" t="s">
        <v>32</v>
      </c>
      <c r="E68" s="168">
        <v>10.5</v>
      </c>
      <c r="F68" s="145" t="s">
        <v>4</v>
      </c>
      <c r="G68" s="6" t="s">
        <v>5</v>
      </c>
      <c r="H68" s="181" t="s">
        <v>738</v>
      </c>
      <c r="I68" s="6"/>
      <c r="J68" s="6" t="s">
        <v>194</v>
      </c>
      <c r="K68" s="5" t="s">
        <v>1449</v>
      </c>
      <c r="L68" s="12" t="s">
        <v>6</v>
      </c>
      <c r="M68" s="22"/>
      <c r="N68" s="22">
        <v>0</v>
      </c>
      <c r="O68" s="22">
        <v>0</v>
      </c>
      <c r="P68" s="49">
        <f t="shared" si="0"/>
        <v>0</v>
      </c>
      <c r="Q68" s="12"/>
      <c r="R68" s="12"/>
      <c r="S68" s="12"/>
      <c r="T68" s="12">
        <v>2.7</v>
      </c>
      <c r="U68" s="12"/>
      <c r="V68" s="12"/>
      <c r="W68" s="12"/>
      <c r="X68" s="12"/>
      <c r="Y68" s="12"/>
    </row>
    <row r="69" spans="1:25" ht="30" customHeight="1" x14ac:dyDescent="0.25">
      <c r="A69" s="145" t="s">
        <v>230</v>
      </c>
      <c r="B69" s="145" t="s">
        <v>361</v>
      </c>
      <c r="C69" s="145" t="s">
        <v>1071</v>
      </c>
      <c r="D69" s="145" t="s">
        <v>3</v>
      </c>
      <c r="E69" s="168">
        <v>3</v>
      </c>
      <c r="F69" s="145" t="s">
        <v>4</v>
      </c>
      <c r="G69" s="6" t="s">
        <v>5</v>
      </c>
      <c r="H69" s="181" t="s">
        <v>738</v>
      </c>
      <c r="I69" s="6"/>
      <c r="J69" s="6" t="s">
        <v>194</v>
      </c>
      <c r="K69" s="5" t="s">
        <v>1449</v>
      </c>
      <c r="L69" s="12" t="s">
        <v>6</v>
      </c>
      <c r="M69" s="22" t="s">
        <v>7</v>
      </c>
      <c r="N69" s="22">
        <v>2625</v>
      </c>
      <c r="O69" s="22">
        <v>2125</v>
      </c>
      <c r="P69" s="49">
        <f t="shared" ref="P69:P132" si="1">N69*O69*0.000001</f>
        <v>5.578125</v>
      </c>
      <c r="Q69" s="12"/>
      <c r="R69" s="12"/>
      <c r="S69" s="12">
        <v>7.95</v>
      </c>
      <c r="T69" s="12">
        <v>2.7</v>
      </c>
      <c r="U69" s="24"/>
      <c r="V69" s="12"/>
      <c r="W69" s="12"/>
      <c r="X69" s="152">
        <f>S69*T69-P69-Q69-Y69</f>
        <v>15.886875000000003</v>
      </c>
      <c r="Y69" s="12"/>
    </row>
    <row r="70" spans="1:25" ht="30" customHeight="1" x14ac:dyDescent="0.25">
      <c r="A70" s="145" t="s">
        <v>230</v>
      </c>
      <c r="B70" s="145" t="s">
        <v>361</v>
      </c>
      <c r="C70" s="145" t="s">
        <v>1072</v>
      </c>
      <c r="D70" s="145" t="s">
        <v>224</v>
      </c>
      <c r="E70" s="168">
        <v>2.2999999999999998</v>
      </c>
      <c r="F70" s="145" t="s">
        <v>4</v>
      </c>
      <c r="G70" s="6" t="s">
        <v>5</v>
      </c>
      <c r="H70" s="181" t="s">
        <v>738</v>
      </c>
      <c r="I70" s="6"/>
      <c r="J70" s="6" t="s">
        <v>194</v>
      </c>
      <c r="K70" s="5" t="s">
        <v>1449</v>
      </c>
      <c r="L70" s="12" t="s">
        <v>6</v>
      </c>
      <c r="M70" s="22" t="s">
        <v>7</v>
      </c>
      <c r="N70" s="22">
        <v>875</v>
      </c>
      <c r="O70" s="22">
        <v>2125</v>
      </c>
      <c r="P70" s="49">
        <f t="shared" si="1"/>
        <v>1.859375</v>
      </c>
      <c r="Q70" s="12"/>
      <c r="R70" s="12"/>
      <c r="S70" s="12">
        <v>6.05</v>
      </c>
      <c r="T70" s="12">
        <v>2.6</v>
      </c>
      <c r="U70" s="12"/>
      <c r="V70" s="12"/>
      <c r="W70" s="12"/>
      <c r="X70" s="152">
        <f>S70*T70-P70-Q70-Y70</f>
        <v>13.870625</v>
      </c>
      <c r="Y70" s="12"/>
    </row>
    <row r="71" spans="1:25" ht="30" customHeight="1" x14ac:dyDescent="0.25">
      <c r="A71" s="145" t="s">
        <v>230</v>
      </c>
      <c r="B71" s="145" t="s">
        <v>361</v>
      </c>
      <c r="C71" s="145" t="s">
        <v>1073</v>
      </c>
      <c r="D71" s="145" t="s">
        <v>153</v>
      </c>
      <c r="E71" s="168">
        <v>1.4</v>
      </c>
      <c r="F71" s="145" t="s">
        <v>4</v>
      </c>
      <c r="G71" s="6" t="s">
        <v>5</v>
      </c>
      <c r="H71" s="181" t="s">
        <v>738</v>
      </c>
      <c r="I71" s="6"/>
      <c r="J71" s="6" t="s">
        <v>194</v>
      </c>
      <c r="K71" s="5" t="s">
        <v>1449</v>
      </c>
      <c r="L71" s="12" t="s">
        <v>6</v>
      </c>
      <c r="M71" s="22" t="s">
        <v>7</v>
      </c>
      <c r="N71" s="22">
        <v>875</v>
      </c>
      <c r="O71" s="22">
        <v>2125</v>
      </c>
      <c r="P71" s="49">
        <f t="shared" si="1"/>
        <v>1.859375</v>
      </c>
      <c r="Q71" s="12"/>
      <c r="R71" s="12"/>
      <c r="S71" s="12">
        <v>4.5</v>
      </c>
      <c r="T71" s="12">
        <v>2.6</v>
      </c>
      <c r="U71" s="24"/>
      <c r="V71" s="12"/>
      <c r="W71" s="12"/>
      <c r="X71" s="152">
        <f>S71*T71-P71-Q71-Y71</f>
        <v>9.8406250000000011</v>
      </c>
      <c r="Y71" s="12"/>
    </row>
    <row r="72" spans="1:25" ht="30" customHeight="1" x14ac:dyDescent="0.25">
      <c r="A72" s="145" t="s">
        <v>230</v>
      </c>
      <c r="B72" s="145" t="s">
        <v>361</v>
      </c>
      <c r="C72" s="145" t="s">
        <v>1074</v>
      </c>
      <c r="D72" s="145" t="s">
        <v>367</v>
      </c>
      <c r="E72" s="168">
        <v>3.2</v>
      </c>
      <c r="F72" s="145" t="s">
        <v>4</v>
      </c>
      <c r="G72" s="6" t="s">
        <v>5</v>
      </c>
      <c r="H72" s="181" t="s">
        <v>738</v>
      </c>
      <c r="I72" s="6"/>
      <c r="J72" s="6" t="s">
        <v>194</v>
      </c>
      <c r="K72" s="5" t="s">
        <v>1449</v>
      </c>
      <c r="L72" s="12" t="s">
        <v>6</v>
      </c>
      <c r="M72" s="22" t="s">
        <v>7</v>
      </c>
      <c r="N72" s="22">
        <v>875</v>
      </c>
      <c r="O72" s="22">
        <v>2125</v>
      </c>
      <c r="P72" s="49">
        <f t="shared" si="1"/>
        <v>1.859375</v>
      </c>
      <c r="Q72" s="12"/>
      <c r="R72" s="12"/>
      <c r="S72" s="12">
        <v>7.25</v>
      </c>
      <c r="T72" s="12">
        <v>2.6</v>
      </c>
      <c r="U72" s="12"/>
      <c r="V72" s="12"/>
      <c r="W72" s="12"/>
      <c r="X72" s="152">
        <f>S72*T72-P72-Q72-Y72</f>
        <v>16.990625000000001</v>
      </c>
      <c r="Y72" s="12"/>
    </row>
    <row r="73" spans="1:25" ht="30" customHeight="1" x14ac:dyDescent="0.25">
      <c r="A73" s="145" t="s">
        <v>230</v>
      </c>
      <c r="B73" s="145" t="s">
        <v>361</v>
      </c>
      <c r="C73" s="145" t="s">
        <v>1075</v>
      </c>
      <c r="D73" s="145" t="s">
        <v>371</v>
      </c>
      <c r="E73" s="168">
        <v>13.8</v>
      </c>
      <c r="F73" s="145" t="s">
        <v>4</v>
      </c>
      <c r="G73" s="6" t="s">
        <v>5</v>
      </c>
      <c r="H73" s="181" t="s">
        <v>738</v>
      </c>
      <c r="I73" s="6"/>
      <c r="J73" s="6" t="s">
        <v>194</v>
      </c>
      <c r="K73" s="5" t="s">
        <v>1449</v>
      </c>
      <c r="L73" s="12" t="s">
        <v>10</v>
      </c>
      <c r="M73" s="22" t="s">
        <v>7</v>
      </c>
      <c r="N73" s="22">
        <v>1625</v>
      </c>
      <c r="O73" s="22">
        <v>2125</v>
      </c>
      <c r="P73" s="49">
        <f t="shared" si="1"/>
        <v>3.453125</v>
      </c>
      <c r="Q73" s="12"/>
      <c r="R73" s="12"/>
      <c r="S73" s="12">
        <v>14.9</v>
      </c>
      <c r="T73" s="12">
        <v>2.7</v>
      </c>
      <c r="U73" s="12"/>
      <c r="V73" s="12"/>
      <c r="W73" s="12"/>
      <c r="X73" s="12"/>
      <c r="Y73" s="12">
        <v>3.24</v>
      </c>
    </row>
    <row r="74" spans="1:25" ht="30" customHeight="1" x14ac:dyDescent="0.25">
      <c r="A74" s="145" t="s">
        <v>230</v>
      </c>
      <c r="B74" s="145" t="s">
        <v>361</v>
      </c>
      <c r="C74" s="145" t="s">
        <v>1076</v>
      </c>
      <c r="D74" s="145" t="s">
        <v>151</v>
      </c>
      <c r="E74" s="168">
        <v>3.2</v>
      </c>
      <c r="F74" s="145" t="s">
        <v>4</v>
      </c>
      <c r="G74" s="6" t="s">
        <v>5</v>
      </c>
      <c r="H74" s="181" t="s">
        <v>738</v>
      </c>
      <c r="I74" s="6"/>
      <c r="J74" s="6" t="s">
        <v>194</v>
      </c>
      <c r="K74" s="5" t="s">
        <v>1449</v>
      </c>
      <c r="L74" s="12" t="s">
        <v>6</v>
      </c>
      <c r="M74" s="22" t="s">
        <v>7</v>
      </c>
      <c r="N74" s="22">
        <v>750</v>
      </c>
      <c r="O74" s="22">
        <v>2125</v>
      </c>
      <c r="P74" s="49">
        <f t="shared" si="1"/>
        <v>1.59375</v>
      </c>
      <c r="Q74" s="12"/>
      <c r="R74" s="12"/>
      <c r="S74" s="12">
        <v>7.45</v>
      </c>
      <c r="T74" s="12">
        <v>2.7</v>
      </c>
      <c r="U74" s="12">
        <f>S74*T74-P74-Q74-X74-Y74</f>
        <v>4.4512500000000017</v>
      </c>
      <c r="V74" s="12"/>
      <c r="W74" s="12"/>
      <c r="X74" s="12">
        <f>(S74-N74/1000)*2.1</f>
        <v>14.07</v>
      </c>
      <c r="Y74" s="12"/>
    </row>
    <row r="75" spans="1:25" ht="30" customHeight="1" x14ac:dyDescent="0.25">
      <c r="A75" s="151" t="s">
        <v>230</v>
      </c>
      <c r="B75" s="151" t="s">
        <v>278</v>
      </c>
      <c r="C75" s="151" t="s">
        <v>1077</v>
      </c>
      <c r="D75" s="151" t="s">
        <v>795</v>
      </c>
      <c r="E75" s="170">
        <v>6</v>
      </c>
      <c r="F75" s="151" t="s">
        <v>4</v>
      </c>
      <c r="G75" s="6" t="s">
        <v>5</v>
      </c>
      <c r="H75" s="181" t="s">
        <v>738</v>
      </c>
      <c r="I75" s="6"/>
      <c r="J75" s="6" t="s">
        <v>194</v>
      </c>
      <c r="K75" s="5" t="s">
        <v>1449</v>
      </c>
      <c r="L75" s="12" t="s">
        <v>81</v>
      </c>
      <c r="M75" s="22" t="s">
        <v>7</v>
      </c>
      <c r="N75" s="22">
        <v>1125</v>
      </c>
      <c r="O75" s="22">
        <v>2125</v>
      </c>
      <c r="P75" s="49">
        <f t="shared" si="1"/>
        <v>2.390625</v>
      </c>
      <c r="Q75" s="12"/>
      <c r="R75" s="12"/>
      <c r="S75" s="12">
        <v>10.1</v>
      </c>
      <c r="T75" s="12">
        <v>2.6</v>
      </c>
      <c r="U75" s="12"/>
      <c r="V75" s="12"/>
      <c r="W75" s="12"/>
      <c r="X75" s="152">
        <f>S75*T75-P75-Q75-Y75</f>
        <v>23.869375000000002</v>
      </c>
      <c r="Y75" s="12"/>
    </row>
    <row r="76" spans="1:25" ht="30" customHeight="1" x14ac:dyDescent="0.25">
      <c r="A76" s="151" t="s">
        <v>230</v>
      </c>
      <c r="B76" s="151" t="s">
        <v>278</v>
      </c>
      <c r="C76" s="151" t="s">
        <v>1078</v>
      </c>
      <c r="D76" s="151" t="s">
        <v>80</v>
      </c>
      <c r="E76" s="170">
        <v>6.8</v>
      </c>
      <c r="F76" s="151" t="s">
        <v>4</v>
      </c>
      <c r="G76" s="6" t="s">
        <v>5</v>
      </c>
      <c r="H76" s="181" t="s">
        <v>738</v>
      </c>
      <c r="I76" s="6"/>
      <c r="J76" s="6" t="s">
        <v>194</v>
      </c>
      <c r="K76" s="5" t="s">
        <v>1449</v>
      </c>
      <c r="L76" s="12" t="s">
        <v>6</v>
      </c>
      <c r="M76" s="22" t="s">
        <v>7</v>
      </c>
      <c r="N76" s="22">
        <v>875</v>
      </c>
      <c r="O76" s="22">
        <v>2125</v>
      </c>
      <c r="P76" s="49">
        <f t="shared" si="1"/>
        <v>1.859375</v>
      </c>
      <c r="Q76" s="12"/>
      <c r="R76" s="12"/>
      <c r="S76" s="12">
        <v>10.61</v>
      </c>
      <c r="T76" s="12">
        <v>2.6</v>
      </c>
      <c r="U76" s="35">
        <f>S76*T76-P76-Q76-X76-Y76</f>
        <v>25.726624999999999</v>
      </c>
      <c r="V76" s="12"/>
      <c r="W76" s="12"/>
      <c r="X76" s="12"/>
      <c r="Y76" s="12"/>
    </row>
    <row r="77" spans="1:25" ht="30" customHeight="1" x14ac:dyDescent="0.25">
      <c r="A77" s="151" t="s">
        <v>230</v>
      </c>
      <c r="B77" s="151" t="s">
        <v>278</v>
      </c>
      <c r="C77" s="151" t="s">
        <v>1079</v>
      </c>
      <c r="D77" s="151" t="s">
        <v>80</v>
      </c>
      <c r="E77" s="170">
        <v>6.5</v>
      </c>
      <c r="F77" s="151" t="s">
        <v>4</v>
      </c>
      <c r="G77" s="6" t="s">
        <v>5</v>
      </c>
      <c r="H77" s="181" t="s">
        <v>738</v>
      </c>
      <c r="I77" s="6"/>
      <c r="J77" s="6" t="s">
        <v>194</v>
      </c>
      <c r="K77" s="5" t="s">
        <v>1449</v>
      </c>
      <c r="L77" s="12" t="s">
        <v>6</v>
      </c>
      <c r="M77" s="22" t="s">
        <v>7</v>
      </c>
      <c r="N77" s="22">
        <v>875</v>
      </c>
      <c r="O77" s="22">
        <v>2125</v>
      </c>
      <c r="P77" s="49">
        <f t="shared" si="1"/>
        <v>1.859375</v>
      </c>
      <c r="Q77" s="12"/>
      <c r="R77" s="12"/>
      <c r="S77" s="12">
        <v>10.210000000000001</v>
      </c>
      <c r="T77" s="12">
        <v>2.6</v>
      </c>
      <c r="U77" s="49">
        <f>S77*T77-P77-Q77-X77-Y77</f>
        <v>24.686625000000003</v>
      </c>
      <c r="V77" s="12"/>
      <c r="W77" s="12"/>
      <c r="X77" s="12"/>
      <c r="Y77" s="12"/>
    </row>
    <row r="78" spans="1:25" ht="30" customHeight="1" x14ac:dyDescent="0.25">
      <c r="A78" s="151" t="s">
        <v>230</v>
      </c>
      <c r="B78" s="151" t="s">
        <v>278</v>
      </c>
      <c r="C78" s="151" t="s">
        <v>1080</v>
      </c>
      <c r="D78" s="151" t="s">
        <v>795</v>
      </c>
      <c r="E78" s="170">
        <v>5.5</v>
      </c>
      <c r="F78" s="151" t="s">
        <v>4</v>
      </c>
      <c r="G78" s="6" t="s">
        <v>5</v>
      </c>
      <c r="H78" s="181" t="s">
        <v>738</v>
      </c>
      <c r="I78" s="6"/>
      <c r="J78" s="6" t="s">
        <v>194</v>
      </c>
      <c r="K78" s="5" t="s">
        <v>1449</v>
      </c>
      <c r="L78" s="12" t="s">
        <v>81</v>
      </c>
      <c r="M78" s="22" t="s">
        <v>7</v>
      </c>
      <c r="N78" s="22">
        <v>1125</v>
      </c>
      <c r="O78" s="22">
        <v>2125</v>
      </c>
      <c r="P78" s="49">
        <f t="shared" si="1"/>
        <v>2.390625</v>
      </c>
      <c r="Q78" s="12"/>
      <c r="R78" s="12"/>
      <c r="S78" s="12">
        <v>9.9</v>
      </c>
      <c r="T78" s="12">
        <v>2.6</v>
      </c>
      <c r="U78" s="12"/>
      <c r="V78" s="12"/>
      <c r="W78" s="12"/>
      <c r="X78" s="152">
        <f>S78*T78-P78-Q78-Y78</f>
        <v>23.349375000000002</v>
      </c>
      <c r="Y78" s="12"/>
    </row>
    <row r="79" spans="1:25" ht="30" customHeight="1" x14ac:dyDescent="0.25">
      <c r="A79" s="145" t="s">
        <v>230</v>
      </c>
      <c r="B79" s="145" t="s">
        <v>228</v>
      </c>
      <c r="C79" s="145" t="s">
        <v>1081</v>
      </c>
      <c r="D79" s="139" t="s">
        <v>55</v>
      </c>
      <c r="E79" s="168">
        <v>61.9</v>
      </c>
      <c r="F79" s="145" t="s">
        <v>4</v>
      </c>
      <c r="G79" s="6" t="s">
        <v>5</v>
      </c>
      <c r="H79" s="181" t="s">
        <v>738</v>
      </c>
      <c r="I79" s="6"/>
      <c r="J79" s="6" t="s">
        <v>194</v>
      </c>
      <c r="K79" s="5" t="s">
        <v>1449</v>
      </c>
      <c r="L79" s="12" t="s">
        <v>6</v>
      </c>
      <c r="M79" s="22" t="s">
        <v>7</v>
      </c>
      <c r="N79" s="22">
        <v>17250</v>
      </c>
      <c r="O79" s="22">
        <v>2125</v>
      </c>
      <c r="P79" s="49">
        <f t="shared" si="1"/>
        <v>36.65625</v>
      </c>
      <c r="Q79" s="12"/>
      <c r="R79" s="12"/>
      <c r="S79" s="12">
        <v>55.93</v>
      </c>
      <c r="T79" s="12">
        <v>2.7</v>
      </c>
      <c r="U79" s="35">
        <f>S79*T79-P79-Q79-X79-Y79</f>
        <v>114.35475</v>
      </c>
      <c r="V79" s="12"/>
      <c r="W79" s="12"/>
      <c r="X79" s="12"/>
      <c r="Y79" s="12"/>
    </row>
    <row r="80" spans="1:25" ht="30" customHeight="1" x14ac:dyDescent="0.25">
      <c r="A80" s="145" t="s">
        <v>230</v>
      </c>
      <c r="B80" s="145" t="s">
        <v>228</v>
      </c>
      <c r="C80" s="145" t="s">
        <v>1082</v>
      </c>
      <c r="D80" s="145" t="s">
        <v>364</v>
      </c>
      <c r="E80" s="168">
        <v>20.2</v>
      </c>
      <c r="F80" s="145" t="s">
        <v>4</v>
      </c>
      <c r="G80" s="6" t="s">
        <v>5</v>
      </c>
      <c r="H80" s="181" t="s">
        <v>738</v>
      </c>
      <c r="I80" s="6"/>
      <c r="J80" s="6" t="s">
        <v>194</v>
      </c>
      <c r="K80" s="5" t="s">
        <v>1449</v>
      </c>
      <c r="L80" s="12" t="s">
        <v>10</v>
      </c>
      <c r="M80" s="22" t="s">
        <v>7</v>
      </c>
      <c r="N80" s="22">
        <v>2000</v>
      </c>
      <c r="O80" s="22">
        <v>2125</v>
      </c>
      <c r="P80" s="49">
        <f t="shared" si="1"/>
        <v>4.25</v>
      </c>
      <c r="Q80" s="12">
        <v>2.4</v>
      </c>
      <c r="R80" s="12">
        <v>1.2</v>
      </c>
      <c r="S80" s="12">
        <v>19.649999999999999</v>
      </c>
      <c r="T80" s="12">
        <v>3</v>
      </c>
      <c r="U80" s="35">
        <f>S80*T80-P80-Q80-X80-Y80</f>
        <v>50.3</v>
      </c>
      <c r="V80" s="12"/>
      <c r="W80" s="12"/>
      <c r="X80" s="12">
        <v>2</v>
      </c>
      <c r="Y80" s="12"/>
    </row>
    <row r="81" spans="1:25" ht="30" customHeight="1" x14ac:dyDescent="0.25">
      <c r="A81" s="145" t="s">
        <v>230</v>
      </c>
      <c r="B81" s="145" t="s">
        <v>228</v>
      </c>
      <c r="C81" s="145" t="s">
        <v>1083</v>
      </c>
      <c r="D81" s="145" t="s">
        <v>101</v>
      </c>
      <c r="E81" s="168">
        <v>3</v>
      </c>
      <c r="F81" s="145" t="s">
        <v>4</v>
      </c>
      <c r="G81" s="6" t="s">
        <v>5</v>
      </c>
      <c r="H81" s="181" t="s">
        <v>738</v>
      </c>
      <c r="I81" s="6"/>
      <c r="J81" s="6" t="s">
        <v>194</v>
      </c>
      <c r="K81" s="5" t="s">
        <v>1449</v>
      </c>
      <c r="L81" s="12" t="s">
        <v>81</v>
      </c>
      <c r="M81" s="22" t="s">
        <v>7</v>
      </c>
      <c r="N81" s="22">
        <v>875</v>
      </c>
      <c r="O81" s="22">
        <v>2125</v>
      </c>
      <c r="P81" s="49">
        <f t="shared" si="1"/>
        <v>1.859375</v>
      </c>
      <c r="Q81" s="12"/>
      <c r="R81" s="12"/>
      <c r="S81" s="12">
        <v>6.79</v>
      </c>
      <c r="T81" s="12">
        <v>2.6</v>
      </c>
      <c r="U81" s="12"/>
      <c r="V81" s="12"/>
      <c r="W81" s="12"/>
      <c r="X81" s="152">
        <f>S81*T81-P81-Q81-Y81</f>
        <v>15.794625</v>
      </c>
      <c r="Y81" s="12"/>
    </row>
    <row r="82" spans="1:25" ht="30" customHeight="1" x14ac:dyDescent="0.25">
      <c r="A82" s="145" t="s">
        <v>230</v>
      </c>
      <c r="B82" s="145" t="s">
        <v>228</v>
      </c>
      <c r="C82" s="145" t="s">
        <v>1084</v>
      </c>
      <c r="D82" s="145" t="s">
        <v>364</v>
      </c>
      <c r="E82" s="168">
        <v>16.2</v>
      </c>
      <c r="F82" s="145" t="s">
        <v>4</v>
      </c>
      <c r="G82" s="6" t="s">
        <v>5</v>
      </c>
      <c r="H82" s="181" t="s">
        <v>738</v>
      </c>
      <c r="I82" s="6"/>
      <c r="J82" s="6" t="s">
        <v>194</v>
      </c>
      <c r="K82" s="5" t="s">
        <v>1449</v>
      </c>
      <c r="L82" s="12" t="s">
        <v>10</v>
      </c>
      <c r="M82" s="22" t="s">
        <v>7</v>
      </c>
      <c r="N82" s="22">
        <v>2000</v>
      </c>
      <c r="O82" s="22">
        <v>2125</v>
      </c>
      <c r="P82" s="49">
        <f t="shared" si="1"/>
        <v>4.25</v>
      </c>
      <c r="Q82" s="12">
        <v>2.4</v>
      </c>
      <c r="R82" s="12">
        <v>1.2</v>
      </c>
      <c r="S82" s="12">
        <v>16.72</v>
      </c>
      <c r="T82" s="12">
        <v>3</v>
      </c>
      <c r="U82" s="35">
        <f>S82*T82-P82-Q82-X82-Y82</f>
        <v>41.51</v>
      </c>
      <c r="V82" s="12"/>
      <c r="W82" s="12"/>
      <c r="X82" s="12">
        <v>2</v>
      </c>
      <c r="Y82" s="12"/>
    </row>
    <row r="83" spans="1:25" ht="30" customHeight="1" x14ac:dyDescent="0.25">
      <c r="A83" s="145" t="s">
        <v>230</v>
      </c>
      <c r="B83" s="145" t="s">
        <v>228</v>
      </c>
      <c r="C83" s="145" t="s">
        <v>1085</v>
      </c>
      <c r="D83" s="145" t="s">
        <v>101</v>
      </c>
      <c r="E83" s="168">
        <v>2.8</v>
      </c>
      <c r="F83" s="145" t="s">
        <v>4</v>
      </c>
      <c r="G83" s="6" t="s">
        <v>5</v>
      </c>
      <c r="H83" s="181" t="s">
        <v>738</v>
      </c>
      <c r="I83" s="6"/>
      <c r="J83" s="6" t="s">
        <v>194</v>
      </c>
      <c r="K83" s="5" t="s">
        <v>1449</v>
      </c>
      <c r="L83" s="12" t="s">
        <v>81</v>
      </c>
      <c r="M83" s="22" t="s">
        <v>7</v>
      </c>
      <c r="N83" s="22">
        <v>875</v>
      </c>
      <c r="O83" s="22">
        <v>2125</v>
      </c>
      <c r="P83" s="49">
        <f t="shared" si="1"/>
        <v>1.859375</v>
      </c>
      <c r="Q83" s="12"/>
      <c r="R83" s="12"/>
      <c r="S83" s="12">
        <v>6.79</v>
      </c>
      <c r="T83" s="12">
        <v>2.6</v>
      </c>
      <c r="U83" s="12"/>
      <c r="V83" s="12"/>
      <c r="W83" s="12"/>
      <c r="X83" s="152">
        <f>S83*T83-P83-Q83-Y83</f>
        <v>15.794625</v>
      </c>
      <c r="Y83" s="12"/>
    </row>
    <row r="84" spans="1:25" ht="30" customHeight="1" x14ac:dyDescent="0.25">
      <c r="A84" s="145" t="s">
        <v>230</v>
      </c>
      <c r="B84" s="145" t="s">
        <v>228</v>
      </c>
      <c r="C84" s="145" t="s">
        <v>1086</v>
      </c>
      <c r="D84" s="145" t="s">
        <v>364</v>
      </c>
      <c r="E84" s="168">
        <v>16.3</v>
      </c>
      <c r="F84" s="145" t="s">
        <v>4</v>
      </c>
      <c r="G84" s="6" t="s">
        <v>5</v>
      </c>
      <c r="H84" s="181" t="s">
        <v>738</v>
      </c>
      <c r="I84" s="6"/>
      <c r="J84" s="6" t="s">
        <v>194</v>
      </c>
      <c r="K84" s="5" t="s">
        <v>1449</v>
      </c>
      <c r="L84" s="12" t="s">
        <v>10</v>
      </c>
      <c r="M84" s="22" t="s">
        <v>7</v>
      </c>
      <c r="N84" s="22">
        <v>2000</v>
      </c>
      <c r="O84" s="22">
        <v>2125</v>
      </c>
      <c r="P84" s="49">
        <f t="shared" si="1"/>
        <v>4.25</v>
      </c>
      <c r="Q84" s="12">
        <v>1.8</v>
      </c>
      <c r="R84" s="12">
        <v>0.9</v>
      </c>
      <c r="S84" s="12">
        <v>16.82</v>
      </c>
      <c r="T84" s="12">
        <v>3</v>
      </c>
      <c r="U84" s="35">
        <f>S84*T84-P84-Q84-X84-Y84</f>
        <v>42.410000000000004</v>
      </c>
      <c r="V84" s="12"/>
      <c r="W84" s="12"/>
      <c r="X84" s="12">
        <v>2</v>
      </c>
      <c r="Y84" s="12"/>
    </row>
    <row r="85" spans="1:25" ht="30" customHeight="1" x14ac:dyDescent="0.25">
      <c r="A85" s="145" t="s">
        <v>230</v>
      </c>
      <c r="B85" s="145" t="s">
        <v>228</v>
      </c>
      <c r="C85" s="145" t="s">
        <v>1087</v>
      </c>
      <c r="D85" s="145" t="s">
        <v>101</v>
      </c>
      <c r="E85" s="168">
        <v>2.6</v>
      </c>
      <c r="F85" s="145" t="s">
        <v>4</v>
      </c>
      <c r="G85" s="6" t="s">
        <v>5</v>
      </c>
      <c r="H85" s="181" t="s">
        <v>738</v>
      </c>
      <c r="I85" s="6"/>
      <c r="J85" s="6" t="s">
        <v>194</v>
      </c>
      <c r="K85" s="5" t="s">
        <v>1449</v>
      </c>
      <c r="L85" s="12" t="s">
        <v>81</v>
      </c>
      <c r="M85" s="22" t="s">
        <v>7</v>
      </c>
      <c r="N85" s="22">
        <v>875</v>
      </c>
      <c r="O85" s="22">
        <v>2125</v>
      </c>
      <c r="P85" s="49">
        <f t="shared" si="1"/>
        <v>1.859375</v>
      </c>
      <c r="Q85" s="12"/>
      <c r="R85" s="12"/>
      <c r="S85" s="12">
        <v>7.07</v>
      </c>
      <c r="T85" s="12">
        <v>2.6</v>
      </c>
      <c r="U85" s="12"/>
      <c r="V85" s="12"/>
      <c r="W85" s="12"/>
      <c r="X85" s="152">
        <f>S85*T85-P85-Q85-Y85</f>
        <v>16.522625000000001</v>
      </c>
      <c r="Y85" s="12"/>
    </row>
    <row r="86" spans="1:25" ht="30" customHeight="1" x14ac:dyDescent="0.25">
      <c r="A86" s="145" t="s">
        <v>230</v>
      </c>
      <c r="B86" s="145" t="s">
        <v>228</v>
      </c>
      <c r="C86" s="145" t="s">
        <v>1088</v>
      </c>
      <c r="D86" s="145" t="s">
        <v>364</v>
      </c>
      <c r="E86" s="168">
        <v>16.3</v>
      </c>
      <c r="F86" s="145" t="s">
        <v>4</v>
      </c>
      <c r="G86" s="6" t="s">
        <v>5</v>
      </c>
      <c r="H86" s="181" t="s">
        <v>738</v>
      </c>
      <c r="I86" s="6"/>
      <c r="J86" s="6" t="s">
        <v>194</v>
      </c>
      <c r="K86" s="5" t="s">
        <v>1449</v>
      </c>
      <c r="L86" s="12" t="s">
        <v>10</v>
      </c>
      <c r="M86" s="22" t="s">
        <v>7</v>
      </c>
      <c r="N86" s="22">
        <v>2000</v>
      </c>
      <c r="O86" s="22">
        <v>2125</v>
      </c>
      <c r="P86" s="49">
        <f t="shared" si="1"/>
        <v>4.25</v>
      </c>
      <c r="Q86" s="12">
        <v>2.4</v>
      </c>
      <c r="R86" s="12">
        <v>1.2</v>
      </c>
      <c r="S86" s="12">
        <v>16.82</v>
      </c>
      <c r="T86" s="12">
        <v>3</v>
      </c>
      <c r="U86" s="35">
        <f>S86*T86-P86-Q86-X86-Y86</f>
        <v>41.81</v>
      </c>
      <c r="V86" s="12"/>
      <c r="W86" s="12"/>
      <c r="X86" s="12">
        <v>2</v>
      </c>
      <c r="Y86" s="12"/>
    </row>
    <row r="87" spans="1:25" ht="30" customHeight="1" x14ac:dyDescent="0.25">
      <c r="A87" s="145" t="s">
        <v>230</v>
      </c>
      <c r="B87" s="145" t="s">
        <v>228</v>
      </c>
      <c r="C87" s="145" t="s">
        <v>1089</v>
      </c>
      <c r="D87" s="145" t="s">
        <v>101</v>
      </c>
      <c r="E87" s="168">
        <v>2.7</v>
      </c>
      <c r="F87" s="145" t="s">
        <v>4</v>
      </c>
      <c r="G87" s="6" t="s">
        <v>5</v>
      </c>
      <c r="H87" s="181" t="s">
        <v>738</v>
      </c>
      <c r="I87" s="6"/>
      <c r="J87" s="6" t="s">
        <v>194</v>
      </c>
      <c r="K87" s="5" t="s">
        <v>1449</v>
      </c>
      <c r="L87" s="12" t="s">
        <v>81</v>
      </c>
      <c r="M87" s="22" t="s">
        <v>7</v>
      </c>
      <c r="N87" s="22">
        <v>875</v>
      </c>
      <c r="O87" s="22">
        <v>2125</v>
      </c>
      <c r="P87" s="49">
        <f t="shared" si="1"/>
        <v>1.859375</v>
      </c>
      <c r="Q87" s="12"/>
      <c r="R87" s="12"/>
      <c r="S87" s="12">
        <v>6.61</v>
      </c>
      <c r="T87" s="12">
        <v>2.6</v>
      </c>
      <c r="U87" s="12"/>
      <c r="V87" s="12"/>
      <c r="W87" s="12"/>
      <c r="X87" s="152">
        <f>S87*T87-P87-Q87-Y87</f>
        <v>15.326625</v>
      </c>
      <c r="Y87" s="12"/>
    </row>
    <row r="88" spans="1:25" ht="30" customHeight="1" x14ac:dyDescent="0.25">
      <c r="A88" s="145" t="s">
        <v>230</v>
      </c>
      <c r="B88" s="145" t="s">
        <v>228</v>
      </c>
      <c r="C88" s="145" t="s">
        <v>1090</v>
      </c>
      <c r="D88" s="145" t="s">
        <v>364</v>
      </c>
      <c r="E88" s="168">
        <v>16.8</v>
      </c>
      <c r="F88" s="145" t="s">
        <v>4</v>
      </c>
      <c r="G88" s="6" t="s">
        <v>5</v>
      </c>
      <c r="H88" s="181" t="s">
        <v>738</v>
      </c>
      <c r="I88" s="6"/>
      <c r="J88" s="6" t="s">
        <v>194</v>
      </c>
      <c r="K88" s="5" t="s">
        <v>1449</v>
      </c>
      <c r="L88" s="12" t="s">
        <v>10</v>
      </c>
      <c r="M88" s="22" t="s">
        <v>7</v>
      </c>
      <c r="N88" s="22">
        <v>2000</v>
      </c>
      <c r="O88" s="22">
        <v>2125</v>
      </c>
      <c r="P88" s="49">
        <f t="shared" si="1"/>
        <v>4.25</v>
      </c>
      <c r="Q88" s="12">
        <v>2.4</v>
      </c>
      <c r="R88" s="12">
        <v>1.2</v>
      </c>
      <c r="S88" s="12">
        <v>16.98</v>
      </c>
      <c r="T88" s="12">
        <v>3</v>
      </c>
      <c r="U88" s="35">
        <f>S88*T88-P88-Q88-X88-Y88</f>
        <v>42.29</v>
      </c>
      <c r="V88" s="12"/>
      <c r="W88" s="12"/>
      <c r="X88" s="12">
        <v>2</v>
      </c>
      <c r="Y88" s="12"/>
    </row>
    <row r="89" spans="1:25" ht="30" customHeight="1" x14ac:dyDescent="0.25">
      <c r="A89" s="145" t="s">
        <v>230</v>
      </c>
      <c r="B89" s="145" t="s">
        <v>228</v>
      </c>
      <c r="C89" s="145" t="s">
        <v>1091</v>
      </c>
      <c r="D89" s="145" t="s">
        <v>101</v>
      </c>
      <c r="E89" s="168">
        <v>2.7</v>
      </c>
      <c r="F89" s="145" t="s">
        <v>4</v>
      </c>
      <c r="G89" s="6" t="s">
        <v>5</v>
      </c>
      <c r="H89" s="181" t="s">
        <v>738</v>
      </c>
      <c r="I89" s="6"/>
      <c r="J89" s="6" t="s">
        <v>194</v>
      </c>
      <c r="K89" s="5" t="s">
        <v>1449</v>
      </c>
      <c r="L89" s="12" t="s">
        <v>81</v>
      </c>
      <c r="M89" s="22" t="s">
        <v>7</v>
      </c>
      <c r="N89" s="22">
        <v>875</v>
      </c>
      <c r="O89" s="22">
        <v>2125</v>
      </c>
      <c r="P89" s="49">
        <f t="shared" si="1"/>
        <v>1.859375</v>
      </c>
      <c r="Q89" s="12"/>
      <c r="R89" s="12"/>
      <c r="S89" s="12">
        <v>6.74</v>
      </c>
      <c r="T89" s="12">
        <v>2.6</v>
      </c>
      <c r="U89" s="12"/>
      <c r="V89" s="12"/>
      <c r="W89" s="12"/>
      <c r="X89" s="152">
        <f>S89*T89-P89-Q89-Y89</f>
        <v>15.664625000000001</v>
      </c>
      <c r="Y89" s="12"/>
    </row>
    <row r="90" spans="1:25" ht="30" customHeight="1" x14ac:dyDescent="0.25">
      <c r="A90" s="145" t="s">
        <v>230</v>
      </c>
      <c r="B90" s="145" t="s">
        <v>228</v>
      </c>
      <c r="C90" s="145" t="s">
        <v>1092</v>
      </c>
      <c r="D90" s="145" t="s">
        <v>364</v>
      </c>
      <c r="E90" s="168">
        <v>24.3</v>
      </c>
      <c r="F90" s="145" t="s">
        <v>4</v>
      </c>
      <c r="G90" s="6" t="s">
        <v>5</v>
      </c>
      <c r="H90" s="181" t="s">
        <v>738</v>
      </c>
      <c r="I90" s="6"/>
      <c r="J90" s="6" t="s">
        <v>194</v>
      </c>
      <c r="K90" s="5" t="s">
        <v>1449</v>
      </c>
      <c r="L90" s="12" t="s">
        <v>10</v>
      </c>
      <c r="M90" s="22" t="s">
        <v>7</v>
      </c>
      <c r="N90" s="22">
        <v>2000</v>
      </c>
      <c r="O90" s="22">
        <v>2125</v>
      </c>
      <c r="P90" s="49">
        <f t="shared" si="1"/>
        <v>4.25</v>
      </c>
      <c r="Q90" s="12">
        <v>2.4</v>
      </c>
      <c r="R90" s="12">
        <v>1.2</v>
      </c>
      <c r="S90" s="12">
        <v>23.17</v>
      </c>
      <c r="T90" s="12">
        <v>3</v>
      </c>
      <c r="U90" s="49">
        <f>S90*T90-P90-Q90-X90-Y90</f>
        <v>60.860000000000007</v>
      </c>
      <c r="V90" s="12"/>
      <c r="W90" s="12"/>
      <c r="X90" s="12">
        <v>2</v>
      </c>
      <c r="Y90" s="12"/>
    </row>
    <row r="91" spans="1:25" ht="30" customHeight="1" x14ac:dyDescent="0.25">
      <c r="A91" s="145" t="s">
        <v>230</v>
      </c>
      <c r="B91" s="145" t="s">
        <v>228</v>
      </c>
      <c r="C91" s="145" t="s">
        <v>1093</v>
      </c>
      <c r="D91" s="145" t="s">
        <v>101</v>
      </c>
      <c r="E91" s="168">
        <v>2.9</v>
      </c>
      <c r="F91" s="145" t="s">
        <v>4</v>
      </c>
      <c r="G91" s="6" t="s">
        <v>5</v>
      </c>
      <c r="H91" s="181" t="s">
        <v>738</v>
      </c>
      <c r="I91" s="6"/>
      <c r="J91" s="6" t="s">
        <v>194</v>
      </c>
      <c r="K91" s="5" t="s">
        <v>1449</v>
      </c>
      <c r="L91" s="12" t="s">
        <v>81</v>
      </c>
      <c r="M91" s="22" t="s">
        <v>7</v>
      </c>
      <c r="N91" s="22">
        <v>875</v>
      </c>
      <c r="O91" s="22">
        <v>2125</v>
      </c>
      <c r="P91" s="49">
        <f t="shared" si="1"/>
        <v>1.859375</v>
      </c>
      <c r="Q91" s="12"/>
      <c r="R91" s="12"/>
      <c r="S91" s="12">
        <v>6.89</v>
      </c>
      <c r="T91" s="12">
        <v>2.6</v>
      </c>
      <c r="U91" s="24"/>
      <c r="V91" s="12"/>
      <c r="W91" s="12"/>
      <c r="X91" s="152">
        <f>S91*T91-P91-Q91-Y91</f>
        <v>16.054625000000001</v>
      </c>
      <c r="Y91" s="12"/>
    </row>
    <row r="92" spans="1:25" ht="30" customHeight="1" x14ac:dyDescent="0.25">
      <c r="A92" s="145" t="s">
        <v>230</v>
      </c>
      <c r="B92" s="145" t="s">
        <v>228</v>
      </c>
      <c r="C92" s="145" t="s">
        <v>1094</v>
      </c>
      <c r="D92" s="139" t="s">
        <v>364</v>
      </c>
      <c r="E92" s="168">
        <v>27.7</v>
      </c>
      <c r="F92" s="145" t="s">
        <v>4</v>
      </c>
      <c r="G92" s="6" t="s">
        <v>5</v>
      </c>
      <c r="H92" s="181" t="s">
        <v>738</v>
      </c>
      <c r="I92" s="6"/>
      <c r="J92" s="6" t="s">
        <v>194</v>
      </c>
      <c r="K92" s="5" t="s">
        <v>1449</v>
      </c>
      <c r="L92" s="12" t="s">
        <v>10</v>
      </c>
      <c r="M92" s="22" t="s">
        <v>7</v>
      </c>
      <c r="N92" s="22">
        <v>2000</v>
      </c>
      <c r="O92" s="22">
        <v>2125</v>
      </c>
      <c r="P92" s="49">
        <f t="shared" si="1"/>
        <v>4.25</v>
      </c>
      <c r="Q92" s="12">
        <v>5.18</v>
      </c>
      <c r="R92" s="12">
        <v>1.1200000000000001</v>
      </c>
      <c r="S92" s="12">
        <v>23.86</v>
      </c>
      <c r="T92" s="12">
        <v>3</v>
      </c>
      <c r="U92" s="35">
        <f>S92*T92-P92-Q92-X92-Y92</f>
        <v>60.15</v>
      </c>
      <c r="V92" s="12"/>
      <c r="W92" s="12"/>
      <c r="X92" s="12">
        <v>2</v>
      </c>
      <c r="Y92" s="12"/>
    </row>
    <row r="93" spans="1:25" ht="30" customHeight="1" x14ac:dyDescent="0.25">
      <c r="A93" s="145" t="s">
        <v>230</v>
      </c>
      <c r="B93" s="145" t="s">
        <v>228</v>
      </c>
      <c r="C93" s="145" t="s">
        <v>1095</v>
      </c>
      <c r="D93" s="145" t="s">
        <v>101</v>
      </c>
      <c r="E93" s="168">
        <v>4.5</v>
      </c>
      <c r="F93" s="145" t="s">
        <v>4</v>
      </c>
      <c r="G93" s="6" t="s">
        <v>5</v>
      </c>
      <c r="H93" s="181" t="s">
        <v>738</v>
      </c>
      <c r="I93" s="6"/>
      <c r="J93" s="6" t="s">
        <v>194</v>
      </c>
      <c r="K93" s="5" t="s">
        <v>1449</v>
      </c>
      <c r="L93" s="12" t="s">
        <v>81</v>
      </c>
      <c r="M93" s="22" t="s">
        <v>7</v>
      </c>
      <c r="N93" s="22">
        <v>875</v>
      </c>
      <c r="O93" s="22">
        <v>2125</v>
      </c>
      <c r="P93" s="49">
        <f t="shared" si="1"/>
        <v>1.859375</v>
      </c>
      <c r="Q93" s="12"/>
      <c r="R93" s="12"/>
      <c r="S93" s="12">
        <v>8.2899999999999991</v>
      </c>
      <c r="T93" s="12">
        <v>2.6</v>
      </c>
      <c r="U93" s="24"/>
      <c r="V93" s="12"/>
      <c r="W93" s="12"/>
      <c r="X93" s="152">
        <f>S93*T93-P93-Q93-Y93</f>
        <v>19.694624999999998</v>
      </c>
      <c r="Y93" s="12"/>
    </row>
    <row r="94" spans="1:25" ht="30" customHeight="1" x14ac:dyDescent="0.25">
      <c r="A94" s="145" t="s">
        <v>230</v>
      </c>
      <c r="B94" s="145" t="s">
        <v>228</v>
      </c>
      <c r="C94" s="145" t="s">
        <v>1096</v>
      </c>
      <c r="D94" s="145" t="s">
        <v>363</v>
      </c>
      <c r="E94" s="168">
        <v>27.7</v>
      </c>
      <c r="F94" s="145" t="s">
        <v>4</v>
      </c>
      <c r="G94" s="6" t="s">
        <v>5</v>
      </c>
      <c r="H94" s="181" t="s">
        <v>738</v>
      </c>
      <c r="I94" s="6"/>
      <c r="J94" s="6" t="s">
        <v>194</v>
      </c>
      <c r="K94" s="5" t="s">
        <v>1449</v>
      </c>
      <c r="L94" s="12" t="s">
        <v>10</v>
      </c>
      <c r="M94" s="22" t="s">
        <v>7</v>
      </c>
      <c r="N94" s="22">
        <v>2000</v>
      </c>
      <c r="O94" s="22">
        <v>2125</v>
      </c>
      <c r="P94" s="49">
        <f t="shared" si="1"/>
        <v>4.25</v>
      </c>
      <c r="Q94" s="12">
        <v>5.18</v>
      </c>
      <c r="R94" s="12">
        <v>1.1200000000000001</v>
      </c>
      <c r="S94" s="12">
        <v>27.73</v>
      </c>
      <c r="T94" s="12">
        <v>3</v>
      </c>
      <c r="U94" s="35">
        <f>S94*T94-P94-Q94-X94-Y94</f>
        <v>71.759999999999991</v>
      </c>
      <c r="V94" s="12"/>
      <c r="W94" s="12"/>
      <c r="X94" s="12">
        <v>2</v>
      </c>
      <c r="Y94" s="12"/>
    </row>
    <row r="95" spans="1:25" s="107" customFormat="1" ht="30" customHeight="1" thickBot="1" x14ac:dyDescent="0.3">
      <c r="A95" s="145" t="s">
        <v>230</v>
      </c>
      <c r="B95" s="145" t="s">
        <v>228</v>
      </c>
      <c r="C95" s="145" t="s">
        <v>1097</v>
      </c>
      <c r="D95" s="145" t="s">
        <v>101</v>
      </c>
      <c r="E95" s="168">
        <v>4.3</v>
      </c>
      <c r="F95" s="145" t="s">
        <v>4</v>
      </c>
      <c r="G95" s="6" t="s">
        <v>5</v>
      </c>
      <c r="H95" s="181" t="s">
        <v>738</v>
      </c>
      <c r="I95" s="6"/>
      <c r="J95" s="6" t="s">
        <v>194</v>
      </c>
      <c r="K95" s="5" t="s">
        <v>1449</v>
      </c>
      <c r="L95" s="12" t="s">
        <v>81</v>
      </c>
      <c r="M95" s="19" t="s">
        <v>7</v>
      </c>
      <c r="N95" s="19">
        <v>875</v>
      </c>
      <c r="O95" s="19">
        <v>2125</v>
      </c>
      <c r="P95" s="322">
        <f t="shared" si="1"/>
        <v>1.859375</v>
      </c>
      <c r="Q95" s="20"/>
      <c r="R95" s="20"/>
      <c r="S95" s="20">
        <v>8.1</v>
      </c>
      <c r="T95" s="20">
        <v>2.6</v>
      </c>
      <c r="U95" s="20"/>
      <c r="V95" s="20"/>
      <c r="W95" s="20"/>
      <c r="X95" s="323">
        <f>S95*T95-P95-Q95-Y95</f>
        <v>19.200624999999999</v>
      </c>
      <c r="Y95" s="20"/>
    </row>
    <row r="96" spans="1:25" ht="30" customHeight="1" thickTop="1" x14ac:dyDescent="0.25">
      <c r="A96" s="145" t="s">
        <v>230</v>
      </c>
      <c r="B96" s="145" t="s">
        <v>228</v>
      </c>
      <c r="C96" s="145" t="s">
        <v>1098</v>
      </c>
      <c r="D96" s="145" t="s">
        <v>366</v>
      </c>
      <c r="E96" s="168">
        <v>42.4</v>
      </c>
      <c r="F96" s="145" t="s">
        <v>4</v>
      </c>
      <c r="G96" s="6" t="s">
        <v>5</v>
      </c>
      <c r="H96" s="181" t="s">
        <v>738</v>
      </c>
      <c r="I96" s="6"/>
      <c r="J96" s="6" t="s">
        <v>194</v>
      </c>
      <c r="K96" s="5" t="s">
        <v>1449</v>
      </c>
      <c r="L96" s="12" t="s">
        <v>6</v>
      </c>
      <c r="M96" s="22"/>
      <c r="N96" s="22">
        <v>0</v>
      </c>
      <c r="O96" s="22">
        <v>0</v>
      </c>
      <c r="P96" s="49">
        <f t="shared" si="1"/>
        <v>0</v>
      </c>
      <c r="Q96" s="24">
        <v>6.9</v>
      </c>
      <c r="R96" s="24"/>
      <c r="S96" s="24">
        <v>0</v>
      </c>
      <c r="T96" s="24">
        <v>3</v>
      </c>
      <c r="U96" s="24"/>
      <c r="V96" s="24"/>
      <c r="W96" s="24"/>
      <c r="X96" s="24"/>
      <c r="Y96" s="24"/>
    </row>
    <row r="97" spans="1:25" ht="30" customHeight="1" x14ac:dyDescent="0.25">
      <c r="A97" s="145" t="s">
        <v>230</v>
      </c>
      <c r="B97" s="145" t="s">
        <v>228</v>
      </c>
      <c r="C97" s="145" t="s">
        <v>1099</v>
      </c>
      <c r="D97" s="145" t="s">
        <v>3</v>
      </c>
      <c r="E97" s="168">
        <v>1.6</v>
      </c>
      <c r="F97" s="145" t="s">
        <v>4</v>
      </c>
      <c r="G97" s="6" t="s">
        <v>5</v>
      </c>
      <c r="H97" s="181" t="s">
        <v>738</v>
      </c>
      <c r="I97" s="6"/>
      <c r="J97" s="6" t="s">
        <v>194</v>
      </c>
      <c r="K97" s="5" t="s">
        <v>1449</v>
      </c>
      <c r="L97" s="12" t="s">
        <v>6</v>
      </c>
      <c r="M97" s="22" t="s">
        <v>7</v>
      </c>
      <c r="N97" s="22">
        <v>2375</v>
      </c>
      <c r="O97" s="22">
        <v>2125</v>
      </c>
      <c r="P97" s="49">
        <f t="shared" si="1"/>
        <v>5.046875</v>
      </c>
      <c r="Q97" s="12"/>
      <c r="R97" s="12"/>
      <c r="S97" s="12">
        <v>5.15</v>
      </c>
      <c r="T97" s="12">
        <v>2.6</v>
      </c>
      <c r="U97" s="49">
        <f>S97*T97-P97-Q97-X97-Y97</f>
        <v>8.3431250000000006</v>
      </c>
      <c r="V97" s="12"/>
      <c r="W97" s="12"/>
      <c r="X97" s="12"/>
      <c r="Y97" s="12"/>
    </row>
    <row r="98" spans="1:25" ht="30" customHeight="1" x14ac:dyDescent="0.25">
      <c r="A98" s="145" t="s">
        <v>230</v>
      </c>
      <c r="B98" s="145" t="s">
        <v>228</v>
      </c>
      <c r="C98" s="145" t="s">
        <v>1100</v>
      </c>
      <c r="D98" s="145" t="s">
        <v>65</v>
      </c>
      <c r="E98" s="168">
        <v>1.2</v>
      </c>
      <c r="F98" s="145" t="s">
        <v>4</v>
      </c>
      <c r="G98" s="6" t="s">
        <v>5</v>
      </c>
      <c r="H98" s="181" t="s">
        <v>738</v>
      </c>
      <c r="I98" s="6"/>
      <c r="J98" s="6" t="s">
        <v>194</v>
      </c>
      <c r="K98" s="5" t="s">
        <v>1449</v>
      </c>
      <c r="L98" s="12" t="s">
        <v>6</v>
      </c>
      <c r="M98" s="22" t="s">
        <v>7</v>
      </c>
      <c r="N98" s="22">
        <v>750</v>
      </c>
      <c r="O98" s="22">
        <v>2125</v>
      </c>
      <c r="P98" s="49">
        <f t="shared" si="1"/>
        <v>1.59375</v>
      </c>
      <c r="Q98" s="12"/>
      <c r="R98" s="12"/>
      <c r="S98" s="12">
        <v>4.0999999999999996</v>
      </c>
      <c r="T98" s="12">
        <v>2.6</v>
      </c>
      <c r="U98" s="12"/>
      <c r="V98" s="12"/>
      <c r="W98" s="12"/>
      <c r="X98" s="152">
        <f>S98*T98-P98-Q98-Y98</f>
        <v>9.0662500000000001</v>
      </c>
      <c r="Y98" s="12"/>
    </row>
    <row r="99" spans="1:25" ht="30" customHeight="1" x14ac:dyDescent="0.25">
      <c r="A99" s="145" t="s">
        <v>230</v>
      </c>
      <c r="B99" s="145" t="s">
        <v>228</v>
      </c>
      <c r="C99" s="145" t="s">
        <v>1101</v>
      </c>
      <c r="D99" s="145" t="s">
        <v>363</v>
      </c>
      <c r="E99" s="168">
        <v>24.6</v>
      </c>
      <c r="F99" s="145" t="s">
        <v>4</v>
      </c>
      <c r="G99" s="6" t="s">
        <v>5</v>
      </c>
      <c r="H99" s="181" t="s">
        <v>738</v>
      </c>
      <c r="I99" s="6"/>
      <c r="J99" s="6" t="s">
        <v>194</v>
      </c>
      <c r="K99" s="5" t="s">
        <v>1449</v>
      </c>
      <c r="L99" s="12" t="s">
        <v>10</v>
      </c>
      <c r="M99" s="22" t="s">
        <v>7</v>
      </c>
      <c r="N99" s="22">
        <v>2000</v>
      </c>
      <c r="O99" s="22">
        <v>2125</v>
      </c>
      <c r="P99" s="49">
        <f t="shared" si="1"/>
        <v>4.25</v>
      </c>
      <c r="Q99" s="12">
        <v>3.45</v>
      </c>
      <c r="R99" s="12">
        <v>1.1200000000000001</v>
      </c>
      <c r="S99" s="12">
        <v>24.62</v>
      </c>
      <c r="T99" s="12">
        <v>3</v>
      </c>
      <c r="U99" s="49">
        <f>S99*T99-P99-Q99-X99-Y99</f>
        <v>64.16</v>
      </c>
      <c r="V99" s="12"/>
      <c r="W99" s="12"/>
      <c r="X99" s="12">
        <v>2</v>
      </c>
      <c r="Y99" s="12"/>
    </row>
    <row r="100" spans="1:25" ht="30" customHeight="1" x14ac:dyDescent="0.25">
      <c r="A100" s="145" t="s">
        <v>230</v>
      </c>
      <c r="B100" s="145" t="s">
        <v>228</v>
      </c>
      <c r="C100" s="145" t="s">
        <v>1102</v>
      </c>
      <c r="D100" s="145" t="s">
        <v>101</v>
      </c>
      <c r="E100" s="168">
        <v>4.2</v>
      </c>
      <c r="F100" s="145" t="s">
        <v>4</v>
      </c>
      <c r="G100" s="6" t="s">
        <v>5</v>
      </c>
      <c r="H100" s="181" t="s">
        <v>738</v>
      </c>
      <c r="I100" s="6"/>
      <c r="J100" s="6" t="s">
        <v>194</v>
      </c>
      <c r="K100" s="5" t="s">
        <v>1449</v>
      </c>
      <c r="L100" s="12" t="s">
        <v>81</v>
      </c>
      <c r="M100" s="22" t="s">
        <v>7</v>
      </c>
      <c r="N100" s="22">
        <v>875</v>
      </c>
      <c r="O100" s="22">
        <v>2125</v>
      </c>
      <c r="P100" s="49">
        <f t="shared" si="1"/>
        <v>1.859375</v>
      </c>
      <c r="Q100" s="12"/>
      <c r="R100" s="12"/>
      <c r="S100" s="12">
        <v>8.1</v>
      </c>
      <c r="T100" s="12">
        <v>2.6</v>
      </c>
      <c r="U100" s="12"/>
      <c r="V100" s="12"/>
      <c r="W100" s="12"/>
      <c r="X100" s="152">
        <f>S100*T100-P100-Q100-Y100</f>
        <v>19.200624999999999</v>
      </c>
      <c r="Y100" s="12"/>
    </row>
    <row r="101" spans="1:25" ht="30" customHeight="1" x14ac:dyDescent="0.25">
      <c r="A101" s="145" t="s">
        <v>230</v>
      </c>
      <c r="B101" s="145" t="s">
        <v>228</v>
      </c>
      <c r="C101" s="145" t="s">
        <v>1103</v>
      </c>
      <c r="D101" s="145" t="s">
        <v>363</v>
      </c>
      <c r="E101" s="168">
        <v>24.1</v>
      </c>
      <c r="F101" s="145" t="s">
        <v>4</v>
      </c>
      <c r="G101" s="6" t="s">
        <v>5</v>
      </c>
      <c r="H101" s="181" t="s">
        <v>738</v>
      </c>
      <c r="I101" s="6"/>
      <c r="J101" s="6" t="s">
        <v>194</v>
      </c>
      <c r="K101" s="5" t="s">
        <v>1449</v>
      </c>
      <c r="L101" s="12" t="s">
        <v>10</v>
      </c>
      <c r="M101" s="22" t="s">
        <v>7</v>
      </c>
      <c r="N101" s="22">
        <v>2000</v>
      </c>
      <c r="O101" s="22">
        <v>2125</v>
      </c>
      <c r="P101" s="49">
        <f t="shared" si="1"/>
        <v>4.25</v>
      </c>
      <c r="Q101" s="12">
        <v>3.45</v>
      </c>
      <c r="R101" s="12">
        <v>1.1200000000000001</v>
      </c>
      <c r="S101" s="12">
        <v>22.18</v>
      </c>
      <c r="T101" s="12">
        <v>3</v>
      </c>
      <c r="U101" s="49">
        <f>S101*T101-P101-Q101-X101-Y101</f>
        <v>56.839999999999989</v>
      </c>
      <c r="V101" s="12"/>
      <c r="W101" s="12"/>
      <c r="X101" s="12">
        <v>2</v>
      </c>
      <c r="Y101" s="12"/>
    </row>
    <row r="102" spans="1:25" ht="30" customHeight="1" x14ac:dyDescent="0.25">
      <c r="A102" s="145" t="s">
        <v>230</v>
      </c>
      <c r="B102" s="145" t="s">
        <v>228</v>
      </c>
      <c r="C102" s="145" t="s">
        <v>1104</v>
      </c>
      <c r="D102" s="145" t="s">
        <v>101</v>
      </c>
      <c r="E102" s="168">
        <v>3.2</v>
      </c>
      <c r="F102" s="145" t="s">
        <v>4</v>
      </c>
      <c r="G102" s="6" t="s">
        <v>5</v>
      </c>
      <c r="H102" s="181" t="s">
        <v>738</v>
      </c>
      <c r="I102" s="6"/>
      <c r="J102" s="6" t="s">
        <v>194</v>
      </c>
      <c r="K102" s="5" t="s">
        <v>1449</v>
      </c>
      <c r="L102" s="12" t="s">
        <v>81</v>
      </c>
      <c r="M102" s="22" t="s">
        <v>7</v>
      </c>
      <c r="N102" s="22">
        <v>875</v>
      </c>
      <c r="O102" s="22">
        <v>2125</v>
      </c>
      <c r="P102" s="49">
        <f t="shared" si="1"/>
        <v>1.859375</v>
      </c>
      <c r="Q102" s="12"/>
      <c r="R102" s="12"/>
      <c r="S102" s="12">
        <v>7</v>
      </c>
      <c r="T102" s="12">
        <v>2.6</v>
      </c>
      <c r="U102" s="12"/>
      <c r="V102" s="12"/>
      <c r="W102" s="12"/>
      <c r="X102" s="152">
        <f>S102*T102-P102-Q102-Y102</f>
        <v>16.340624999999999</v>
      </c>
      <c r="Y102" s="12"/>
    </row>
    <row r="103" spans="1:25" ht="30" customHeight="1" x14ac:dyDescent="0.25">
      <c r="A103" s="145" t="s">
        <v>230</v>
      </c>
      <c r="B103" s="145" t="s">
        <v>228</v>
      </c>
      <c r="C103" s="145" t="s">
        <v>1105</v>
      </c>
      <c r="D103" s="145" t="s">
        <v>1026</v>
      </c>
      <c r="E103" s="168">
        <v>27.8</v>
      </c>
      <c r="F103" s="145" t="s">
        <v>4</v>
      </c>
      <c r="G103" s="6" t="s">
        <v>5</v>
      </c>
      <c r="H103" s="181" t="s">
        <v>738</v>
      </c>
      <c r="I103" s="6"/>
      <c r="J103" s="6" t="s">
        <v>194</v>
      </c>
      <c r="K103" s="5" t="s">
        <v>1449</v>
      </c>
      <c r="L103" s="12" t="s">
        <v>10</v>
      </c>
      <c r="M103" s="22" t="s">
        <v>7</v>
      </c>
      <c r="N103" s="22">
        <v>2250</v>
      </c>
      <c r="O103" s="22">
        <v>2125</v>
      </c>
      <c r="P103" s="49">
        <f t="shared" si="1"/>
        <v>4.78125</v>
      </c>
      <c r="Q103" s="12">
        <v>5.18</v>
      </c>
      <c r="R103" s="12">
        <v>1.1200000000000001</v>
      </c>
      <c r="S103" s="12">
        <v>23.01</v>
      </c>
      <c r="T103" s="12">
        <v>3</v>
      </c>
      <c r="U103" s="49">
        <f>S103*T103-P103-Q103-X103-Y103</f>
        <v>57.068750000000001</v>
      </c>
      <c r="V103" s="12"/>
      <c r="W103" s="12"/>
      <c r="X103" s="12">
        <v>2</v>
      </c>
      <c r="Y103" s="12"/>
    </row>
    <row r="104" spans="1:25" ht="30" customHeight="1" x14ac:dyDescent="0.25">
      <c r="A104" s="145" t="s">
        <v>230</v>
      </c>
      <c r="B104" s="145" t="s">
        <v>228</v>
      </c>
      <c r="C104" s="145" t="s">
        <v>1106</v>
      </c>
      <c r="D104" s="145" t="s">
        <v>1028</v>
      </c>
      <c r="E104" s="168">
        <v>4.8</v>
      </c>
      <c r="F104" s="145" t="s">
        <v>4</v>
      </c>
      <c r="G104" s="6" t="s">
        <v>5</v>
      </c>
      <c r="H104" s="181" t="s">
        <v>738</v>
      </c>
      <c r="I104" s="6"/>
      <c r="J104" s="6" t="s">
        <v>194</v>
      </c>
      <c r="K104" s="5" t="s">
        <v>1449</v>
      </c>
      <c r="L104" s="12" t="s">
        <v>81</v>
      </c>
      <c r="M104" s="22" t="s">
        <v>7</v>
      </c>
      <c r="N104" s="22">
        <v>1125</v>
      </c>
      <c r="O104" s="22">
        <v>2125</v>
      </c>
      <c r="P104" s="49">
        <f t="shared" si="1"/>
        <v>2.390625</v>
      </c>
      <c r="Q104" s="12"/>
      <c r="R104" s="12"/>
      <c r="S104" s="12">
        <v>8.69</v>
      </c>
      <c r="T104" s="12">
        <v>2.6</v>
      </c>
      <c r="U104" s="12"/>
      <c r="V104" s="12"/>
      <c r="W104" s="12"/>
      <c r="X104" s="152">
        <f>S104*T104-P104-Q104-Y104</f>
        <v>20.203375000000001</v>
      </c>
      <c r="Y104" s="12"/>
    </row>
    <row r="105" spans="1:25" ht="30" customHeight="1" x14ac:dyDescent="0.25">
      <c r="A105" s="145" t="s">
        <v>230</v>
      </c>
      <c r="B105" s="145" t="s">
        <v>228</v>
      </c>
      <c r="C105" s="145" t="s">
        <v>1107</v>
      </c>
      <c r="D105" s="145" t="s">
        <v>1026</v>
      </c>
      <c r="E105" s="168">
        <v>28.3</v>
      </c>
      <c r="F105" s="145" t="s">
        <v>4</v>
      </c>
      <c r="G105" s="6" t="s">
        <v>5</v>
      </c>
      <c r="H105" s="181" t="s">
        <v>738</v>
      </c>
      <c r="I105" s="6"/>
      <c r="J105" s="6" t="s">
        <v>194</v>
      </c>
      <c r="K105" s="5" t="s">
        <v>1449</v>
      </c>
      <c r="L105" s="12" t="s">
        <v>10</v>
      </c>
      <c r="M105" s="22" t="s">
        <v>7</v>
      </c>
      <c r="N105" s="22">
        <v>2250</v>
      </c>
      <c r="O105" s="22">
        <v>2125</v>
      </c>
      <c r="P105" s="49">
        <f t="shared" si="1"/>
        <v>4.78125</v>
      </c>
      <c r="Q105" s="12">
        <v>5.18</v>
      </c>
      <c r="R105" s="12">
        <v>1.1200000000000001</v>
      </c>
      <c r="S105" s="12">
        <v>23.16</v>
      </c>
      <c r="T105" s="12">
        <v>3</v>
      </c>
      <c r="U105" s="49">
        <f>S105*T105-P105-Q105-X105-Y105</f>
        <v>57.518750000000004</v>
      </c>
      <c r="V105" s="12"/>
      <c r="W105" s="12"/>
      <c r="X105" s="12">
        <v>2</v>
      </c>
      <c r="Y105" s="12"/>
    </row>
    <row r="106" spans="1:25" ht="30" customHeight="1" x14ac:dyDescent="0.25">
      <c r="A106" s="145" t="s">
        <v>230</v>
      </c>
      <c r="B106" s="145" t="s">
        <v>228</v>
      </c>
      <c r="C106" s="145" t="s">
        <v>1108</v>
      </c>
      <c r="D106" s="145" t="s">
        <v>1028</v>
      </c>
      <c r="E106" s="168">
        <v>4.5999999999999996</v>
      </c>
      <c r="F106" s="145" t="s">
        <v>4</v>
      </c>
      <c r="G106" s="6" t="s">
        <v>5</v>
      </c>
      <c r="H106" s="181" t="s">
        <v>738</v>
      </c>
      <c r="I106" s="6"/>
      <c r="J106" s="6" t="s">
        <v>194</v>
      </c>
      <c r="K106" s="5" t="s">
        <v>1449</v>
      </c>
      <c r="L106" s="12" t="s">
        <v>81</v>
      </c>
      <c r="M106" s="22" t="s">
        <v>7</v>
      </c>
      <c r="N106" s="22">
        <v>1125</v>
      </c>
      <c r="O106" s="22">
        <v>2125</v>
      </c>
      <c r="P106" s="49">
        <f t="shared" si="1"/>
        <v>2.390625</v>
      </c>
      <c r="Q106" s="12"/>
      <c r="R106" s="12"/>
      <c r="S106" s="12">
        <v>8.7899999999999991</v>
      </c>
      <c r="T106" s="12">
        <v>2.6</v>
      </c>
      <c r="U106" s="12"/>
      <c r="V106" s="12"/>
      <c r="W106" s="12"/>
      <c r="X106" s="152">
        <f>S106*T106-P106-Q106-Y106</f>
        <v>20.463374999999999</v>
      </c>
      <c r="Y106" s="12"/>
    </row>
    <row r="107" spans="1:25" ht="30" customHeight="1" x14ac:dyDescent="0.25">
      <c r="A107" s="145" t="s">
        <v>230</v>
      </c>
      <c r="B107" s="145" t="s">
        <v>228</v>
      </c>
      <c r="C107" s="145" t="s">
        <v>1109</v>
      </c>
      <c r="D107" s="145" t="s">
        <v>363</v>
      </c>
      <c r="E107" s="168">
        <v>23.6</v>
      </c>
      <c r="F107" s="145" t="s">
        <v>4</v>
      </c>
      <c r="G107" s="6" t="s">
        <v>5</v>
      </c>
      <c r="H107" s="181" t="s">
        <v>738</v>
      </c>
      <c r="I107" s="6"/>
      <c r="J107" s="6" t="s">
        <v>194</v>
      </c>
      <c r="K107" s="5" t="s">
        <v>1449</v>
      </c>
      <c r="L107" s="12" t="s">
        <v>10</v>
      </c>
      <c r="M107" s="22" t="s">
        <v>7</v>
      </c>
      <c r="N107" s="22">
        <v>2000</v>
      </c>
      <c r="O107" s="22">
        <v>2125</v>
      </c>
      <c r="P107" s="49">
        <f t="shared" si="1"/>
        <v>4.25</v>
      </c>
      <c r="Q107" s="12">
        <v>3.45</v>
      </c>
      <c r="R107" s="12">
        <v>1.1200000000000001</v>
      </c>
      <c r="S107" s="12">
        <v>22.02</v>
      </c>
      <c r="T107" s="12">
        <v>3</v>
      </c>
      <c r="U107" s="49">
        <f>S107*T107-P107-Q107-X107-Y107</f>
        <v>56.36</v>
      </c>
      <c r="V107" s="12"/>
      <c r="W107" s="12"/>
      <c r="X107" s="12">
        <v>2</v>
      </c>
      <c r="Y107" s="12"/>
    </row>
    <row r="108" spans="1:25" ht="30" customHeight="1" x14ac:dyDescent="0.25">
      <c r="A108" s="145" t="s">
        <v>230</v>
      </c>
      <c r="B108" s="145" t="s">
        <v>228</v>
      </c>
      <c r="C108" s="145" t="s">
        <v>1110</v>
      </c>
      <c r="D108" s="145" t="s">
        <v>101</v>
      </c>
      <c r="E108" s="168">
        <v>4</v>
      </c>
      <c r="F108" s="145" t="s">
        <v>4</v>
      </c>
      <c r="G108" s="6" t="s">
        <v>5</v>
      </c>
      <c r="H108" s="181" t="s">
        <v>738</v>
      </c>
      <c r="I108" s="6"/>
      <c r="J108" s="6" t="s">
        <v>194</v>
      </c>
      <c r="K108" s="5" t="s">
        <v>1449</v>
      </c>
      <c r="L108" s="12" t="s">
        <v>81</v>
      </c>
      <c r="M108" s="22" t="s">
        <v>7</v>
      </c>
      <c r="N108" s="22">
        <v>875</v>
      </c>
      <c r="O108" s="22">
        <v>2125</v>
      </c>
      <c r="P108" s="49">
        <f t="shared" si="1"/>
        <v>1.859375</v>
      </c>
      <c r="Q108" s="12"/>
      <c r="R108" s="12"/>
      <c r="S108" s="12">
        <v>8.01</v>
      </c>
      <c r="T108" s="12">
        <v>2.6</v>
      </c>
      <c r="U108" s="12"/>
      <c r="V108" s="12"/>
      <c r="W108" s="12"/>
      <c r="X108" s="152">
        <f>S108*T108-P108-Q108-Y108</f>
        <v>18.966625000000001</v>
      </c>
      <c r="Y108" s="12"/>
    </row>
    <row r="109" spans="1:25" ht="30" customHeight="1" x14ac:dyDescent="0.25">
      <c r="A109" s="145" t="s">
        <v>230</v>
      </c>
      <c r="B109" s="145" t="s">
        <v>228</v>
      </c>
      <c r="C109" s="145" t="s">
        <v>1111</v>
      </c>
      <c r="D109" s="145" t="s">
        <v>363</v>
      </c>
      <c r="E109" s="168">
        <v>25.2</v>
      </c>
      <c r="F109" s="145" t="s">
        <v>4</v>
      </c>
      <c r="G109" s="6" t="s">
        <v>5</v>
      </c>
      <c r="H109" s="181" t="s">
        <v>738</v>
      </c>
      <c r="I109" s="6"/>
      <c r="J109" s="6" t="s">
        <v>194</v>
      </c>
      <c r="K109" s="5" t="s">
        <v>1449</v>
      </c>
      <c r="L109" s="12" t="s">
        <v>10</v>
      </c>
      <c r="M109" s="22" t="s">
        <v>7</v>
      </c>
      <c r="N109" s="22">
        <v>2000</v>
      </c>
      <c r="O109" s="22">
        <v>2125</v>
      </c>
      <c r="P109" s="49">
        <f t="shared" si="1"/>
        <v>4.25</v>
      </c>
      <c r="Q109" s="12">
        <v>3.45</v>
      </c>
      <c r="R109" s="12">
        <v>1.1200000000000001</v>
      </c>
      <c r="S109" s="12">
        <v>24.52</v>
      </c>
      <c r="T109" s="12">
        <v>3</v>
      </c>
      <c r="U109" s="49">
        <f>S109*T109-P109-Q109-X109-Y109</f>
        <v>63.86</v>
      </c>
      <c r="V109" s="12"/>
      <c r="W109" s="12"/>
      <c r="X109" s="12">
        <v>2</v>
      </c>
      <c r="Y109" s="12"/>
    </row>
    <row r="110" spans="1:25" ht="30" customHeight="1" x14ac:dyDescent="0.25">
      <c r="A110" s="145" t="s">
        <v>230</v>
      </c>
      <c r="B110" s="145" t="s">
        <v>228</v>
      </c>
      <c r="C110" s="145" t="s">
        <v>1112</v>
      </c>
      <c r="D110" s="145" t="s">
        <v>101</v>
      </c>
      <c r="E110" s="168">
        <v>3.6</v>
      </c>
      <c r="F110" s="145" t="s">
        <v>4</v>
      </c>
      <c r="G110" s="6" t="s">
        <v>5</v>
      </c>
      <c r="H110" s="181" t="s">
        <v>738</v>
      </c>
      <c r="I110" s="6"/>
      <c r="J110" s="6" t="s">
        <v>194</v>
      </c>
      <c r="K110" s="5" t="s">
        <v>1449</v>
      </c>
      <c r="L110" s="12" t="s">
        <v>81</v>
      </c>
      <c r="M110" s="22" t="s">
        <v>7</v>
      </c>
      <c r="N110" s="22">
        <v>875</v>
      </c>
      <c r="O110" s="22">
        <v>2125</v>
      </c>
      <c r="P110" s="49">
        <f t="shared" si="1"/>
        <v>1.859375</v>
      </c>
      <c r="Q110" s="12"/>
      <c r="R110" s="12"/>
      <c r="S110" s="12">
        <v>7.95</v>
      </c>
      <c r="T110" s="12">
        <v>2.6</v>
      </c>
      <c r="U110" s="12"/>
      <c r="V110" s="12"/>
      <c r="W110" s="12"/>
      <c r="X110" s="152">
        <f>S110*T110-P110-Q110-Y110</f>
        <v>18.810625000000002</v>
      </c>
      <c r="Y110" s="12"/>
    </row>
    <row r="111" spans="1:25" ht="30" customHeight="1" x14ac:dyDescent="0.25">
      <c r="A111" s="145" t="s">
        <v>230</v>
      </c>
      <c r="B111" s="145" t="s">
        <v>228</v>
      </c>
      <c r="C111" s="145" t="s">
        <v>1113</v>
      </c>
      <c r="D111" s="145" t="s">
        <v>364</v>
      </c>
      <c r="E111" s="168">
        <v>21.9</v>
      </c>
      <c r="F111" s="145" t="s">
        <v>4</v>
      </c>
      <c r="G111" s="6" t="s">
        <v>5</v>
      </c>
      <c r="H111" s="181" t="s">
        <v>738</v>
      </c>
      <c r="I111" s="6"/>
      <c r="J111" s="6" t="s">
        <v>194</v>
      </c>
      <c r="K111" s="5" t="s">
        <v>1449</v>
      </c>
      <c r="L111" s="12" t="s">
        <v>10</v>
      </c>
      <c r="M111" s="22" t="s">
        <v>7</v>
      </c>
      <c r="N111" s="22">
        <v>2000</v>
      </c>
      <c r="O111" s="22">
        <v>2125</v>
      </c>
      <c r="P111" s="49">
        <f t="shared" si="1"/>
        <v>4.25</v>
      </c>
      <c r="Q111" s="12">
        <v>5.17</v>
      </c>
      <c r="R111" s="12">
        <v>1.1200000000000001</v>
      </c>
      <c r="S111" s="12">
        <v>20.81</v>
      </c>
      <c r="T111" s="12">
        <v>3</v>
      </c>
      <c r="U111" s="49">
        <f>S111*T111-P111-Q111-X111-Y111</f>
        <v>51.009999999999991</v>
      </c>
      <c r="V111" s="12"/>
      <c r="W111" s="12"/>
      <c r="X111" s="12">
        <v>2</v>
      </c>
      <c r="Y111" s="12"/>
    </row>
    <row r="112" spans="1:25" ht="30" customHeight="1" x14ac:dyDescent="0.25">
      <c r="A112" s="145" t="s">
        <v>230</v>
      </c>
      <c r="B112" s="145" t="s">
        <v>228</v>
      </c>
      <c r="C112" s="145" t="s">
        <v>1114</v>
      </c>
      <c r="D112" s="145" t="s">
        <v>101</v>
      </c>
      <c r="E112" s="168">
        <v>3.1</v>
      </c>
      <c r="F112" s="145" t="s">
        <v>4</v>
      </c>
      <c r="G112" s="6" t="s">
        <v>5</v>
      </c>
      <c r="H112" s="181" t="s">
        <v>738</v>
      </c>
      <c r="I112" s="6"/>
      <c r="J112" s="6" t="s">
        <v>194</v>
      </c>
      <c r="K112" s="5" t="s">
        <v>1449</v>
      </c>
      <c r="L112" s="12" t="s">
        <v>81</v>
      </c>
      <c r="M112" s="22" t="s">
        <v>7</v>
      </c>
      <c r="N112" s="22">
        <v>875</v>
      </c>
      <c r="O112" s="22">
        <v>2125</v>
      </c>
      <c r="P112" s="49">
        <f t="shared" si="1"/>
        <v>1.859375</v>
      </c>
      <c r="Q112" s="12"/>
      <c r="R112" s="12"/>
      <c r="S112" s="12">
        <v>7.23</v>
      </c>
      <c r="T112" s="12">
        <v>2.6</v>
      </c>
      <c r="U112" s="12"/>
      <c r="V112" s="12"/>
      <c r="W112" s="12"/>
      <c r="X112" s="152">
        <f>S112*T112-P112-Q112-Y112</f>
        <v>16.938625000000002</v>
      </c>
      <c r="Y112" s="12"/>
    </row>
    <row r="113" spans="1:25" ht="30" customHeight="1" x14ac:dyDescent="0.25">
      <c r="A113" s="145" t="s">
        <v>230</v>
      </c>
      <c r="B113" s="145" t="s">
        <v>228</v>
      </c>
      <c r="C113" s="145" t="s">
        <v>1115</v>
      </c>
      <c r="D113" s="145" t="s">
        <v>212</v>
      </c>
      <c r="E113" s="168">
        <v>9.6</v>
      </c>
      <c r="F113" s="145" t="s">
        <v>4</v>
      </c>
      <c r="G113" s="6" t="s">
        <v>5</v>
      </c>
      <c r="H113" s="181" t="s">
        <v>738</v>
      </c>
      <c r="I113" s="6"/>
      <c r="J113" s="6" t="s">
        <v>194</v>
      </c>
      <c r="K113" s="5" t="s">
        <v>1449</v>
      </c>
      <c r="L113" s="12" t="s">
        <v>10</v>
      </c>
      <c r="M113" s="22" t="s">
        <v>7</v>
      </c>
      <c r="N113" s="22">
        <v>875</v>
      </c>
      <c r="O113" s="22">
        <v>2125</v>
      </c>
      <c r="P113" s="49">
        <f t="shared" si="1"/>
        <v>1.859375</v>
      </c>
      <c r="Q113" s="12">
        <v>3.26</v>
      </c>
      <c r="R113" s="12">
        <v>1.1000000000000001</v>
      </c>
      <c r="S113" s="12">
        <v>12.49</v>
      </c>
      <c r="T113" s="12">
        <v>3</v>
      </c>
      <c r="U113" s="49">
        <f t="shared" ref="U113:U118" si="2">S113*T113-P113-Q113-X113-Y113</f>
        <v>29.150625000000002</v>
      </c>
      <c r="V113" s="12"/>
      <c r="W113" s="12"/>
      <c r="X113" s="12">
        <v>3.2</v>
      </c>
      <c r="Y113" s="12"/>
    </row>
    <row r="114" spans="1:25" ht="30" customHeight="1" x14ac:dyDescent="0.25">
      <c r="A114" s="145" t="s">
        <v>230</v>
      </c>
      <c r="B114" s="145" t="s">
        <v>228</v>
      </c>
      <c r="C114" s="145" t="s">
        <v>1116</v>
      </c>
      <c r="D114" s="145" t="s">
        <v>55</v>
      </c>
      <c r="E114" s="168">
        <v>88.1</v>
      </c>
      <c r="F114" s="145" t="s">
        <v>4</v>
      </c>
      <c r="G114" s="6" t="s">
        <v>5</v>
      </c>
      <c r="H114" s="181" t="s">
        <v>738</v>
      </c>
      <c r="I114" s="6"/>
      <c r="J114" s="6" t="s">
        <v>194</v>
      </c>
      <c r="K114" s="5" t="s">
        <v>1449</v>
      </c>
      <c r="L114" s="12" t="s">
        <v>6</v>
      </c>
      <c r="M114" s="22" t="s">
        <v>7</v>
      </c>
      <c r="N114" s="22">
        <v>29900</v>
      </c>
      <c r="O114" s="22">
        <v>2125</v>
      </c>
      <c r="P114" s="49">
        <f t="shared" si="1"/>
        <v>63.537499999999994</v>
      </c>
      <c r="Q114" s="12"/>
      <c r="R114" s="12"/>
      <c r="S114" s="12">
        <v>101.08</v>
      </c>
      <c r="T114" s="12">
        <v>2.7</v>
      </c>
      <c r="U114" s="49">
        <f t="shared" si="2"/>
        <v>206.17850000000001</v>
      </c>
      <c r="V114" s="12"/>
      <c r="W114" s="12"/>
      <c r="X114" s="12"/>
      <c r="Y114" s="12">
        <v>3.2</v>
      </c>
    </row>
    <row r="115" spans="1:25" ht="30" customHeight="1" x14ac:dyDescent="0.25">
      <c r="A115" s="145" t="s">
        <v>230</v>
      </c>
      <c r="B115" s="145" t="s">
        <v>228</v>
      </c>
      <c r="C115" s="145" t="s">
        <v>1117</v>
      </c>
      <c r="D115" s="145" t="s">
        <v>362</v>
      </c>
      <c r="E115" s="168">
        <v>8.1</v>
      </c>
      <c r="F115" s="145" t="s">
        <v>4</v>
      </c>
      <c r="G115" s="6" t="s">
        <v>5</v>
      </c>
      <c r="H115" s="181" t="s">
        <v>738</v>
      </c>
      <c r="I115" s="6"/>
      <c r="J115" s="6" t="s">
        <v>194</v>
      </c>
      <c r="K115" s="5" t="s">
        <v>1449</v>
      </c>
      <c r="L115" s="12" t="s">
        <v>6</v>
      </c>
      <c r="M115" s="22" t="s">
        <v>7</v>
      </c>
      <c r="N115" s="22">
        <v>3000</v>
      </c>
      <c r="O115" s="22">
        <v>2125</v>
      </c>
      <c r="P115" s="49">
        <f t="shared" si="1"/>
        <v>6.375</v>
      </c>
      <c r="Q115" s="12"/>
      <c r="R115" s="12"/>
      <c r="S115" s="12">
        <v>11.6</v>
      </c>
      <c r="T115" s="12">
        <v>2.7</v>
      </c>
      <c r="U115" s="35">
        <f t="shared" si="2"/>
        <v>19.945</v>
      </c>
      <c r="V115" s="12"/>
      <c r="W115" s="12"/>
      <c r="X115" s="12">
        <v>3.02</v>
      </c>
      <c r="Y115" s="12">
        <v>1.98</v>
      </c>
    </row>
    <row r="116" spans="1:25" ht="30" customHeight="1" x14ac:dyDescent="0.25">
      <c r="A116" s="145" t="s">
        <v>230</v>
      </c>
      <c r="B116" s="145" t="s">
        <v>228</v>
      </c>
      <c r="C116" s="145" t="s">
        <v>1118</v>
      </c>
      <c r="D116" s="145" t="s">
        <v>3</v>
      </c>
      <c r="E116" s="168">
        <v>15.3</v>
      </c>
      <c r="F116" s="145" t="s">
        <v>4</v>
      </c>
      <c r="G116" s="6" t="s">
        <v>5</v>
      </c>
      <c r="H116" s="181" t="s">
        <v>738</v>
      </c>
      <c r="I116" s="6"/>
      <c r="J116" s="6" t="s">
        <v>194</v>
      </c>
      <c r="K116" s="5" t="s">
        <v>1449</v>
      </c>
      <c r="L116" s="12" t="s">
        <v>6</v>
      </c>
      <c r="M116" s="22" t="s">
        <v>7</v>
      </c>
      <c r="N116" s="22">
        <v>4875</v>
      </c>
      <c r="O116" s="22">
        <v>2125</v>
      </c>
      <c r="P116" s="49">
        <f t="shared" si="1"/>
        <v>10.359375</v>
      </c>
      <c r="Q116" s="12"/>
      <c r="R116" s="12"/>
      <c r="S116" s="12">
        <v>17.43</v>
      </c>
      <c r="T116" s="12">
        <v>2.7</v>
      </c>
      <c r="U116" s="49">
        <f t="shared" si="2"/>
        <v>31.701624999999996</v>
      </c>
      <c r="V116" s="12"/>
      <c r="W116" s="12"/>
      <c r="X116" s="12">
        <v>3.02</v>
      </c>
      <c r="Y116" s="12">
        <v>1.98</v>
      </c>
    </row>
    <row r="117" spans="1:25" ht="30" customHeight="1" x14ac:dyDescent="0.25">
      <c r="A117" s="145" t="s">
        <v>230</v>
      </c>
      <c r="B117" s="145" t="s">
        <v>228</v>
      </c>
      <c r="C117" s="139" t="s">
        <v>1119</v>
      </c>
      <c r="D117" s="145" t="s">
        <v>80</v>
      </c>
      <c r="E117" s="168">
        <v>2.2000000000000002</v>
      </c>
      <c r="F117" s="145" t="s">
        <v>4</v>
      </c>
      <c r="G117" s="6" t="s">
        <v>5</v>
      </c>
      <c r="H117" s="181" t="s">
        <v>738</v>
      </c>
      <c r="I117" s="6"/>
      <c r="J117" s="6" t="s">
        <v>194</v>
      </c>
      <c r="K117" s="5" t="s">
        <v>1449</v>
      </c>
      <c r="L117" s="179" t="s">
        <v>6</v>
      </c>
      <c r="M117" s="22" t="s">
        <v>7</v>
      </c>
      <c r="N117" s="22">
        <v>875</v>
      </c>
      <c r="O117" s="22">
        <v>2125</v>
      </c>
      <c r="P117" s="49">
        <f t="shared" si="1"/>
        <v>1.859375</v>
      </c>
      <c r="Q117" s="12"/>
      <c r="R117" s="12"/>
      <c r="S117" s="12">
        <v>6.41</v>
      </c>
      <c r="T117" s="12">
        <v>2.6</v>
      </c>
      <c r="U117" s="35">
        <f t="shared" si="2"/>
        <v>14.806625</v>
      </c>
      <c r="V117" s="12"/>
      <c r="W117" s="12"/>
      <c r="X117" s="12"/>
      <c r="Y117" s="12"/>
    </row>
    <row r="118" spans="1:25" ht="30" customHeight="1" x14ac:dyDescent="0.25">
      <c r="A118" s="145" t="s">
        <v>230</v>
      </c>
      <c r="B118" s="145" t="s">
        <v>228</v>
      </c>
      <c r="C118" s="145" t="s">
        <v>1120</v>
      </c>
      <c r="D118" s="145" t="s">
        <v>364</v>
      </c>
      <c r="E118" s="168">
        <v>24.1</v>
      </c>
      <c r="F118" s="145" t="s">
        <v>4</v>
      </c>
      <c r="G118" s="6" t="s">
        <v>5</v>
      </c>
      <c r="H118" s="181" t="s">
        <v>738</v>
      </c>
      <c r="I118" s="6"/>
      <c r="J118" s="6" t="s">
        <v>194</v>
      </c>
      <c r="K118" s="5" t="s">
        <v>1449</v>
      </c>
      <c r="L118" s="12" t="s">
        <v>10</v>
      </c>
      <c r="M118" s="22" t="s">
        <v>7</v>
      </c>
      <c r="N118" s="22">
        <v>2000</v>
      </c>
      <c r="O118" s="22">
        <v>2125</v>
      </c>
      <c r="P118" s="49">
        <f t="shared" si="1"/>
        <v>4.25</v>
      </c>
      <c r="Q118" s="12">
        <v>5.17</v>
      </c>
      <c r="R118" s="12">
        <v>0.57999999999999996</v>
      </c>
      <c r="S118" s="12">
        <v>20.59</v>
      </c>
      <c r="T118" s="12">
        <v>3</v>
      </c>
      <c r="U118" s="35">
        <f t="shared" si="2"/>
        <v>50.349999999999994</v>
      </c>
      <c r="V118" s="12"/>
      <c r="W118" s="12"/>
      <c r="X118" s="12">
        <v>2</v>
      </c>
      <c r="Y118" s="12"/>
    </row>
    <row r="119" spans="1:25" ht="30" customHeight="1" x14ac:dyDescent="0.25">
      <c r="A119" s="145" t="s">
        <v>230</v>
      </c>
      <c r="B119" s="145" t="s">
        <v>228</v>
      </c>
      <c r="C119" s="145" t="s">
        <v>1121</v>
      </c>
      <c r="D119" s="145" t="s">
        <v>101</v>
      </c>
      <c r="E119" s="168">
        <v>2.2000000000000002</v>
      </c>
      <c r="F119" s="145" t="s">
        <v>4</v>
      </c>
      <c r="G119" s="6" t="s">
        <v>5</v>
      </c>
      <c r="H119" s="181" t="s">
        <v>738</v>
      </c>
      <c r="I119" s="6"/>
      <c r="J119" s="6" t="s">
        <v>194</v>
      </c>
      <c r="K119" s="5" t="s">
        <v>1449</v>
      </c>
      <c r="L119" s="12" t="s">
        <v>81</v>
      </c>
      <c r="M119" s="22" t="s">
        <v>7</v>
      </c>
      <c r="N119" s="22">
        <v>875</v>
      </c>
      <c r="O119" s="22">
        <v>2125</v>
      </c>
      <c r="P119" s="49">
        <f t="shared" si="1"/>
        <v>1.859375</v>
      </c>
      <c r="Q119" s="12"/>
      <c r="R119" s="12"/>
      <c r="S119" s="12">
        <v>5.99</v>
      </c>
      <c r="T119" s="12">
        <v>2.6</v>
      </c>
      <c r="U119" s="24"/>
      <c r="V119" s="12"/>
      <c r="W119" s="12"/>
      <c r="X119" s="152">
        <f>S119*T119-P119-Q119-Y119</f>
        <v>13.714625000000002</v>
      </c>
      <c r="Y119" s="12"/>
    </row>
    <row r="120" spans="1:25" ht="30" customHeight="1" x14ac:dyDescent="0.25">
      <c r="A120" s="145" t="s">
        <v>230</v>
      </c>
      <c r="B120" s="145" t="s">
        <v>228</v>
      </c>
      <c r="C120" s="145" t="s">
        <v>1122</v>
      </c>
      <c r="D120" s="145" t="s">
        <v>364</v>
      </c>
      <c r="E120" s="168">
        <v>20.9</v>
      </c>
      <c r="F120" s="145" t="s">
        <v>4</v>
      </c>
      <c r="G120" s="6" t="s">
        <v>5</v>
      </c>
      <c r="H120" s="181" t="s">
        <v>738</v>
      </c>
      <c r="I120" s="6"/>
      <c r="J120" s="6" t="s">
        <v>194</v>
      </c>
      <c r="K120" s="5" t="s">
        <v>1449</v>
      </c>
      <c r="L120" s="12" t="s">
        <v>10</v>
      </c>
      <c r="M120" s="22" t="s">
        <v>7</v>
      </c>
      <c r="N120" s="22">
        <v>2000</v>
      </c>
      <c r="O120" s="22">
        <v>2125</v>
      </c>
      <c r="P120" s="49">
        <f t="shared" si="1"/>
        <v>4.25</v>
      </c>
      <c r="Q120" s="12">
        <v>5.17</v>
      </c>
      <c r="R120" s="12">
        <v>0.57999999999999996</v>
      </c>
      <c r="S120" s="12">
        <v>19.55</v>
      </c>
      <c r="T120" s="12">
        <v>3</v>
      </c>
      <c r="U120" s="35">
        <f>S120*T120-P120-Q120-X120-Y120</f>
        <v>47.230000000000004</v>
      </c>
      <c r="V120" s="12"/>
      <c r="W120" s="12"/>
      <c r="X120" s="12">
        <v>2</v>
      </c>
      <c r="Y120" s="12"/>
    </row>
    <row r="121" spans="1:25" ht="30" customHeight="1" x14ac:dyDescent="0.25">
      <c r="A121" s="145" t="s">
        <v>230</v>
      </c>
      <c r="B121" s="145" t="s">
        <v>228</v>
      </c>
      <c r="C121" s="145" t="s">
        <v>1123</v>
      </c>
      <c r="D121" s="145" t="s">
        <v>101</v>
      </c>
      <c r="E121" s="168">
        <v>2.2000000000000002</v>
      </c>
      <c r="F121" s="145" t="s">
        <v>4</v>
      </c>
      <c r="G121" s="6" t="s">
        <v>5</v>
      </c>
      <c r="H121" s="181" t="s">
        <v>738</v>
      </c>
      <c r="I121" s="6"/>
      <c r="J121" s="6" t="s">
        <v>194</v>
      </c>
      <c r="K121" s="5" t="s">
        <v>1449</v>
      </c>
      <c r="L121" s="12" t="s">
        <v>81</v>
      </c>
      <c r="M121" s="22" t="s">
        <v>7</v>
      </c>
      <c r="N121" s="22">
        <v>875</v>
      </c>
      <c r="O121" s="22">
        <v>2125</v>
      </c>
      <c r="P121" s="49">
        <f t="shared" si="1"/>
        <v>1.859375</v>
      </c>
      <c r="Q121" s="12"/>
      <c r="R121" s="12"/>
      <c r="S121" s="12">
        <v>5.99</v>
      </c>
      <c r="T121" s="12">
        <v>2.6</v>
      </c>
      <c r="U121" s="24"/>
      <c r="V121" s="12"/>
      <c r="W121" s="12"/>
      <c r="X121" s="152">
        <f>S121*T121-P121-Q121-Y121</f>
        <v>13.714625000000002</v>
      </c>
      <c r="Y121" s="12"/>
    </row>
    <row r="122" spans="1:25" ht="30" customHeight="1" x14ac:dyDescent="0.25">
      <c r="A122" s="145" t="s">
        <v>230</v>
      </c>
      <c r="B122" s="145" t="s">
        <v>228</v>
      </c>
      <c r="C122" s="145" t="s">
        <v>1124</v>
      </c>
      <c r="D122" s="145" t="s">
        <v>364</v>
      </c>
      <c r="E122" s="168">
        <v>18</v>
      </c>
      <c r="F122" s="145" t="s">
        <v>4</v>
      </c>
      <c r="G122" s="6" t="s">
        <v>5</v>
      </c>
      <c r="H122" s="181" t="s">
        <v>738</v>
      </c>
      <c r="I122" s="6"/>
      <c r="J122" s="6" t="s">
        <v>194</v>
      </c>
      <c r="K122" s="5" t="s">
        <v>1449</v>
      </c>
      <c r="L122" s="12" t="s">
        <v>10</v>
      </c>
      <c r="M122" s="22" t="s">
        <v>7</v>
      </c>
      <c r="N122" s="22">
        <v>2000</v>
      </c>
      <c r="O122" s="22">
        <v>2125</v>
      </c>
      <c r="P122" s="49">
        <f t="shared" si="1"/>
        <v>4.25</v>
      </c>
      <c r="Q122" s="12">
        <v>3.45</v>
      </c>
      <c r="R122" s="12">
        <v>0.57999999999999996</v>
      </c>
      <c r="S122" s="12">
        <v>18.649999999999999</v>
      </c>
      <c r="T122" s="12">
        <v>3</v>
      </c>
      <c r="U122" s="35">
        <f>S122*T122-P122-Q122-X122-Y122</f>
        <v>46.249999999999993</v>
      </c>
      <c r="V122" s="12"/>
      <c r="W122" s="12"/>
      <c r="X122" s="12">
        <v>2</v>
      </c>
      <c r="Y122" s="12"/>
    </row>
    <row r="123" spans="1:25" ht="30" customHeight="1" x14ac:dyDescent="0.25">
      <c r="A123" s="145" t="s">
        <v>230</v>
      </c>
      <c r="B123" s="145" t="s">
        <v>228</v>
      </c>
      <c r="C123" s="145" t="s">
        <v>1125</v>
      </c>
      <c r="D123" s="145" t="s">
        <v>101</v>
      </c>
      <c r="E123" s="168">
        <v>2.2000000000000002</v>
      </c>
      <c r="F123" s="145" t="s">
        <v>4</v>
      </c>
      <c r="G123" s="6" t="s">
        <v>5</v>
      </c>
      <c r="H123" s="181" t="s">
        <v>738</v>
      </c>
      <c r="I123" s="6"/>
      <c r="J123" s="6" t="s">
        <v>194</v>
      </c>
      <c r="K123" s="5" t="s">
        <v>1449</v>
      </c>
      <c r="L123" s="12" t="s">
        <v>81</v>
      </c>
      <c r="M123" s="22" t="s">
        <v>7</v>
      </c>
      <c r="N123" s="22">
        <v>875</v>
      </c>
      <c r="O123" s="22">
        <v>2125</v>
      </c>
      <c r="P123" s="49">
        <f t="shared" si="1"/>
        <v>1.859375</v>
      </c>
      <c r="Q123" s="12"/>
      <c r="R123" s="12"/>
      <c r="S123" s="12">
        <v>5.99</v>
      </c>
      <c r="T123" s="12">
        <v>2.6</v>
      </c>
      <c r="U123" s="24"/>
      <c r="V123" s="12"/>
      <c r="W123" s="12"/>
      <c r="X123" s="152">
        <f>S123*T123-P123-Q123-Y123</f>
        <v>13.714625000000002</v>
      </c>
      <c r="Y123" s="12"/>
    </row>
    <row r="124" spans="1:25" ht="30" customHeight="1" x14ac:dyDescent="0.25">
      <c r="A124" s="145" t="s">
        <v>230</v>
      </c>
      <c r="B124" s="145" t="s">
        <v>228</v>
      </c>
      <c r="C124" s="145" t="s">
        <v>1126</v>
      </c>
      <c r="D124" s="145" t="s">
        <v>364</v>
      </c>
      <c r="E124" s="168">
        <v>18</v>
      </c>
      <c r="F124" s="145" t="s">
        <v>4</v>
      </c>
      <c r="G124" s="6" t="s">
        <v>5</v>
      </c>
      <c r="H124" s="181" t="s">
        <v>738</v>
      </c>
      <c r="I124" s="6"/>
      <c r="J124" s="6" t="s">
        <v>194</v>
      </c>
      <c r="K124" s="5" t="s">
        <v>1449</v>
      </c>
      <c r="L124" s="12" t="s">
        <v>10</v>
      </c>
      <c r="M124" s="22" t="s">
        <v>7</v>
      </c>
      <c r="N124" s="22">
        <v>2000</v>
      </c>
      <c r="O124" s="22">
        <v>2125</v>
      </c>
      <c r="P124" s="49">
        <f t="shared" si="1"/>
        <v>4.25</v>
      </c>
      <c r="Q124" s="12">
        <v>3.45</v>
      </c>
      <c r="R124" s="12">
        <v>0.57999999999999996</v>
      </c>
      <c r="S124" s="12">
        <v>18.649999999999999</v>
      </c>
      <c r="T124" s="12">
        <v>3</v>
      </c>
      <c r="U124" s="35">
        <f>S124*T124-P124-Q124-X124-Y124</f>
        <v>46.249999999999993</v>
      </c>
      <c r="V124" s="12"/>
      <c r="W124" s="12"/>
      <c r="X124" s="12">
        <v>2</v>
      </c>
      <c r="Y124" s="12"/>
    </row>
    <row r="125" spans="1:25" ht="30" customHeight="1" x14ac:dyDescent="0.25">
      <c r="A125" s="145" t="s">
        <v>230</v>
      </c>
      <c r="B125" s="145" t="s">
        <v>228</v>
      </c>
      <c r="C125" s="145" t="s">
        <v>1127</v>
      </c>
      <c r="D125" s="145" t="s">
        <v>101</v>
      </c>
      <c r="E125" s="168">
        <v>1.1000000000000001</v>
      </c>
      <c r="F125" s="145" t="s">
        <v>4</v>
      </c>
      <c r="G125" s="6" t="s">
        <v>5</v>
      </c>
      <c r="H125" s="181" t="s">
        <v>738</v>
      </c>
      <c r="I125" s="6"/>
      <c r="J125" s="6"/>
      <c r="K125" s="5" t="s">
        <v>1449</v>
      </c>
      <c r="L125" s="12" t="s">
        <v>81</v>
      </c>
      <c r="M125" s="22" t="s">
        <v>7</v>
      </c>
      <c r="N125" s="22">
        <v>875</v>
      </c>
      <c r="O125" s="22">
        <v>2125</v>
      </c>
      <c r="P125" s="49">
        <f t="shared" si="1"/>
        <v>1.859375</v>
      </c>
      <c r="Q125" s="12"/>
      <c r="R125" s="12"/>
      <c r="S125" s="12">
        <v>5.99</v>
      </c>
      <c r="T125" s="12">
        <v>2.6</v>
      </c>
      <c r="U125" s="24"/>
      <c r="V125" s="12"/>
      <c r="W125" s="12"/>
      <c r="X125" s="152">
        <f>S125*T125-P125-Q125-Y125</f>
        <v>13.714625000000002</v>
      </c>
      <c r="Y125" s="12"/>
    </row>
    <row r="126" spans="1:25" ht="30" customHeight="1" x14ac:dyDescent="0.25">
      <c r="A126" s="145" t="s">
        <v>230</v>
      </c>
      <c r="B126" s="145" t="s">
        <v>228</v>
      </c>
      <c r="C126" s="145" t="s">
        <v>1128</v>
      </c>
      <c r="D126" s="145" t="s">
        <v>162</v>
      </c>
      <c r="E126" s="168">
        <v>16.899999999999999</v>
      </c>
      <c r="F126" s="145" t="s">
        <v>4</v>
      </c>
      <c r="G126" s="6" t="s">
        <v>5</v>
      </c>
      <c r="H126" s="181" t="s">
        <v>738</v>
      </c>
      <c r="I126" s="6"/>
      <c r="J126" s="6"/>
      <c r="K126" s="5" t="s">
        <v>1449</v>
      </c>
      <c r="L126" s="12" t="s">
        <v>10</v>
      </c>
      <c r="M126" s="22" t="s">
        <v>7</v>
      </c>
      <c r="N126" s="22">
        <v>2000</v>
      </c>
      <c r="O126" s="22">
        <v>2125</v>
      </c>
      <c r="P126" s="49">
        <f t="shared" si="1"/>
        <v>4.25</v>
      </c>
      <c r="Q126" s="12"/>
      <c r="R126" s="12"/>
      <c r="S126" s="12">
        <v>17.95</v>
      </c>
      <c r="T126" s="12">
        <v>3</v>
      </c>
      <c r="U126" s="35">
        <f>S126*T126-P126-Q126-X126-Y126</f>
        <v>47.599999999999994</v>
      </c>
      <c r="V126" s="12"/>
      <c r="W126" s="12"/>
      <c r="X126" s="12">
        <v>2</v>
      </c>
      <c r="Y126" s="12"/>
    </row>
    <row r="127" spans="1:25" ht="30" customHeight="1" x14ac:dyDescent="0.25">
      <c r="A127" s="145" t="s">
        <v>230</v>
      </c>
      <c r="B127" s="145" t="s">
        <v>228</v>
      </c>
      <c r="C127" s="145" t="s">
        <v>1129</v>
      </c>
      <c r="D127" s="145" t="s">
        <v>371</v>
      </c>
      <c r="E127" s="168">
        <v>13.9</v>
      </c>
      <c r="F127" s="145" t="s">
        <v>4</v>
      </c>
      <c r="G127" s="6" t="s">
        <v>5</v>
      </c>
      <c r="H127" s="181" t="s">
        <v>738</v>
      </c>
      <c r="I127" s="6"/>
      <c r="J127" s="6"/>
      <c r="K127" s="5" t="s">
        <v>1449</v>
      </c>
      <c r="L127" s="12" t="s">
        <v>10</v>
      </c>
      <c r="M127" s="22" t="s">
        <v>7</v>
      </c>
      <c r="N127" s="22">
        <v>2500</v>
      </c>
      <c r="O127" s="22">
        <v>2125</v>
      </c>
      <c r="P127" s="49">
        <f t="shared" si="1"/>
        <v>5.3125</v>
      </c>
      <c r="Q127" s="12"/>
      <c r="R127" s="12"/>
      <c r="S127" s="12">
        <v>14.9</v>
      </c>
      <c r="T127" s="12">
        <v>2.7</v>
      </c>
      <c r="U127" s="49">
        <f>S127*T127-P127-Q127-X127-Y127</f>
        <v>29.717500000000005</v>
      </c>
      <c r="V127" s="12"/>
      <c r="W127" s="12"/>
      <c r="X127" s="12">
        <v>2</v>
      </c>
      <c r="Y127" s="12">
        <v>3.2</v>
      </c>
    </row>
    <row r="128" spans="1:25" ht="30" customHeight="1" x14ac:dyDescent="0.25">
      <c r="A128" s="145" t="s">
        <v>230</v>
      </c>
      <c r="B128" s="145" t="s">
        <v>228</v>
      </c>
      <c r="C128" s="145" t="s">
        <v>1130</v>
      </c>
      <c r="D128" s="145" t="s">
        <v>151</v>
      </c>
      <c r="E128" s="168">
        <v>3</v>
      </c>
      <c r="F128" s="145" t="s">
        <v>4</v>
      </c>
      <c r="G128" s="6" t="s">
        <v>5</v>
      </c>
      <c r="H128" s="181" t="s">
        <v>738</v>
      </c>
      <c r="I128" s="6"/>
      <c r="J128" s="6"/>
      <c r="K128" s="5" t="s">
        <v>1449</v>
      </c>
      <c r="L128" s="12" t="s">
        <v>6</v>
      </c>
      <c r="M128" s="22" t="s">
        <v>7</v>
      </c>
      <c r="N128" s="22">
        <v>750</v>
      </c>
      <c r="O128" s="22">
        <v>2125</v>
      </c>
      <c r="P128" s="49">
        <f t="shared" si="1"/>
        <v>1.59375</v>
      </c>
      <c r="Q128" s="12"/>
      <c r="R128" s="12"/>
      <c r="S128" s="12">
        <v>7.45</v>
      </c>
      <c r="T128" s="12">
        <v>2.6</v>
      </c>
      <c r="U128" s="35">
        <f>S128*T128-P128-Q128-X128-Y128</f>
        <v>3.7062500000000007</v>
      </c>
      <c r="V128" s="12"/>
      <c r="W128" s="12"/>
      <c r="X128" s="12">
        <f>(S128-N128/1000)*2.1</f>
        <v>14.07</v>
      </c>
      <c r="Y128" s="12"/>
    </row>
    <row r="129" spans="1:25" ht="30" customHeight="1" x14ac:dyDescent="0.25">
      <c r="A129" s="145" t="s">
        <v>230</v>
      </c>
      <c r="B129" s="145" t="s">
        <v>228</v>
      </c>
      <c r="C129" s="145" t="s">
        <v>1131</v>
      </c>
      <c r="D129" s="145" t="s">
        <v>3</v>
      </c>
      <c r="E129" s="168">
        <v>3</v>
      </c>
      <c r="F129" s="145" t="s">
        <v>4</v>
      </c>
      <c r="G129" s="6" t="s">
        <v>5</v>
      </c>
      <c r="H129" s="181" t="s">
        <v>738</v>
      </c>
      <c r="I129" s="6"/>
      <c r="J129" s="6"/>
      <c r="K129" s="5" t="s">
        <v>1449</v>
      </c>
      <c r="L129" s="12" t="s">
        <v>6</v>
      </c>
      <c r="M129" s="22" t="s">
        <v>7</v>
      </c>
      <c r="N129" s="22">
        <v>2625</v>
      </c>
      <c r="O129" s="22">
        <v>2125</v>
      </c>
      <c r="P129" s="49">
        <f t="shared" si="1"/>
        <v>5.578125</v>
      </c>
      <c r="Q129" s="12"/>
      <c r="R129" s="12"/>
      <c r="S129" s="12">
        <v>7.95</v>
      </c>
      <c r="T129" s="12">
        <v>2.6</v>
      </c>
      <c r="U129" s="49">
        <f>S129*T129-P129-Q129-X129-Y129</f>
        <v>3.9093750000000007</v>
      </c>
      <c r="V129" s="12"/>
      <c r="W129" s="12"/>
      <c r="X129" s="12">
        <f>(S129-N129/1000)*2.1</f>
        <v>11.182500000000001</v>
      </c>
      <c r="Y129" s="12"/>
    </row>
    <row r="130" spans="1:25" ht="30" customHeight="1" x14ac:dyDescent="0.25">
      <c r="A130" s="145" t="s">
        <v>230</v>
      </c>
      <c r="B130" s="145" t="s">
        <v>228</v>
      </c>
      <c r="C130" s="145" t="s">
        <v>1132</v>
      </c>
      <c r="D130" s="145" t="s">
        <v>224</v>
      </c>
      <c r="E130" s="168">
        <v>2.2999999999999998</v>
      </c>
      <c r="F130" s="145" t="s">
        <v>4</v>
      </c>
      <c r="G130" s="6" t="s">
        <v>5</v>
      </c>
      <c r="H130" s="181" t="s">
        <v>738</v>
      </c>
      <c r="I130" s="6"/>
      <c r="J130" s="6"/>
      <c r="K130" s="5" t="s">
        <v>1449</v>
      </c>
      <c r="L130" s="12" t="s">
        <v>6</v>
      </c>
      <c r="M130" s="22" t="s">
        <v>7</v>
      </c>
      <c r="N130" s="22">
        <v>875</v>
      </c>
      <c r="O130" s="22">
        <v>2125</v>
      </c>
      <c r="P130" s="49">
        <f t="shared" si="1"/>
        <v>1.859375</v>
      </c>
      <c r="Q130" s="12"/>
      <c r="R130" s="12"/>
      <c r="S130" s="12">
        <v>6.05</v>
      </c>
      <c r="T130" s="12">
        <v>2.6</v>
      </c>
      <c r="U130" s="12"/>
      <c r="V130" s="12"/>
      <c r="W130" s="12"/>
      <c r="X130" s="152">
        <f>S130*T130-P130-Q130-Y130</f>
        <v>13.870625</v>
      </c>
      <c r="Y130" s="12"/>
    </row>
    <row r="131" spans="1:25" ht="30" customHeight="1" x14ac:dyDescent="0.25">
      <c r="A131" s="145" t="s">
        <v>230</v>
      </c>
      <c r="B131" s="145" t="s">
        <v>228</v>
      </c>
      <c r="C131" s="145" t="s">
        <v>1133</v>
      </c>
      <c r="D131" s="145" t="s">
        <v>153</v>
      </c>
      <c r="E131" s="168">
        <v>1.4</v>
      </c>
      <c r="F131" s="145" t="s">
        <v>4</v>
      </c>
      <c r="G131" s="6" t="s">
        <v>5</v>
      </c>
      <c r="H131" s="181" t="s">
        <v>738</v>
      </c>
      <c r="I131" s="6"/>
      <c r="J131" s="6"/>
      <c r="K131" s="5" t="s">
        <v>1449</v>
      </c>
      <c r="L131" s="12" t="s">
        <v>6</v>
      </c>
      <c r="M131" s="22" t="s">
        <v>7</v>
      </c>
      <c r="N131" s="22">
        <v>875</v>
      </c>
      <c r="O131" s="22">
        <v>2125</v>
      </c>
      <c r="P131" s="49">
        <f t="shared" si="1"/>
        <v>1.859375</v>
      </c>
      <c r="Q131" s="12"/>
      <c r="R131" s="12"/>
      <c r="S131" s="12">
        <v>4.5</v>
      </c>
      <c r="T131" s="12">
        <v>2.6</v>
      </c>
      <c r="U131" s="24"/>
      <c r="V131" s="12"/>
      <c r="W131" s="12"/>
      <c r="X131" s="152">
        <f>S131*T131-P131-Q131-Y131</f>
        <v>9.8406250000000011</v>
      </c>
      <c r="Y131" s="12"/>
    </row>
    <row r="132" spans="1:25" ht="30" customHeight="1" x14ac:dyDescent="0.25">
      <c r="A132" s="145" t="s">
        <v>230</v>
      </c>
      <c r="B132" s="145" t="s">
        <v>228</v>
      </c>
      <c r="C132" s="145" t="s">
        <v>1134</v>
      </c>
      <c r="D132" s="145" t="s">
        <v>367</v>
      </c>
      <c r="E132" s="168">
        <v>3.2</v>
      </c>
      <c r="F132" s="145" t="s">
        <v>4</v>
      </c>
      <c r="G132" s="6" t="s">
        <v>5</v>
      </c>
      <c r="H132" s="181" t="s">
        <v>738</v>
      </c>
      <c r="I132" s="6"/>
      <c r="J132" s="6"/>
      <c r="K132" s="5" t="s">
        <v>1449</v>
      </c>
      <c r="L132" s="12" t="s">
        <v>6</v>
      </c>
      <c r="M132" s="22" t="s">
        <v>7</v>
      </c>
      <c r="N132" s="22">
        <v>875</v>
      </c>
      <c r="O132" s="22">
        <v>2125</v>
      </c>
      <c r="P132" s="49">
        <f t="shared" si="1"/>
        <v>1.859375</v>
      </c>
      <c r="Q132" s="12"/>
      <c r="R132" s="12"/>
      <c r="S132" s="12">
        <v>7.3</v>
      </c>
      <c r="T132" s="12">
        <v>2.6</v>
      </c>
      <c r="U132" s="12"/>
      <c r="V132" s="12"/>
      <c r="W132" s="12"/>
      <c r="X132" s="152">
        <f>S132*T132-P132-Q132-Y132</f>
        <v>17.120625</v>
      </c>
      <c r="Y132" s="12"/>
    </row>
    <row r="133" spans="1:25" ht="30" customHeight="1" x14ac:dyDescent="0.25">
      <c r="A133" s="145" t="s">
        <v>230</v>
      </c>
      <c r="B133" s="145" t="s">
        <v>228</v>
      </c>
      <c r="C133" s="145" t="s">
        <v>1135</v>
      </c>
      <c r="D133" s="145" t="s">
        <v>32</v>
      </c>
      <c r="E133" s="168">
        <v>10.5</v>
      </c>
      <c r="F133" s="145" t="s">
        <v>4</v>
      </c>
      <c r="G133" s="6" t="s">
        <v>5</v>
      </c>
      <c r="H133" s="181" t="s">
        <v>738</v>
      </c>
      <c r="I133" s="6"/>
      <c r="J133" s="6"/>
      <c r="K133" s="5" t="s">
        <v>1449</v>
      </c>
      <c r="L133" s="12" t="s">
        <v>6</v>
      </c>
      <c r="M133" s="22" t="s">
        <v>7</v>
      </c>
      <c r="N133" s="22">
        <v>0</v>
      </c>
      <c r="O133" s="22">
        <v>0</v>
      </c>
      <c r="P133" s="49">
        <f t="shared" ref="P133:P196" si="3">N133*O133*0.000001</f>
        <v>0</v>
      </c>
      <c r="Q133" s="12"/>
      <c r="R133" s="12"/>
      <c r="S133" s="12">
        <v>0</v>
      </c>
      <c r="T133" s="12">
        <v>2.7</v>
      </c>
      <c r="U133" s="24"/>
      <c r="V133" s="12"/>
      <c r="W133" s="12"/>
      <c r="X133" s="12"/>
      <c r="Y133" s="12"/>
    </row>
    <row r="134" spans="1:25" ht="30" customHeight="1" x14ac:dyDescent="0.25">
      <c r="A134" s="145" t="s">
        <v>230</v>
      </c>
      <c r="B134" s="145" t="s">
        <v>228</v>
      </c>
      <c r="C134" s="145" t="s">
        <v>1136</v>
      </c>
      <c r="D134" s="145" t="s">
        <v>364</v>
      </c>
      <c r="E134" s="168">
        <v>17.7</v>
      </c>
      <c r="F134" s="145" t="s">
        <v>4</v>
      </c>
      <c r="G134" s="6" t="s">
        <v>5</v>
      </c>
      <c r="H134" s="181" t="s">
        <v>738</v>
      </c>
      <c r="I134" s="6"/>
      <c r="J134" s="6"/>
      <c r="K134" s="5" t="s">
        <v>1449</v>
      </c>
      <c r="L134" s="12" t="s">
        <v>10</v>
      </c>
      <c r="M134" s="22" t="s">
        <v>7</v>
      </c>
      <c r="N134" s="22">
        <v>2000</v>
      </c>
      <c r="O134" s="22">
        <v>2125</v>
      </c>
      <c r="P134" s="49">
        <f t="shared" si="3"/>
        <v>4.25</v>
      </c>
      <c r="Q134" s="12">
        <v>2.4</v>
      </c>
      <c r="R134" s="12">
        <v>1.2</v>
      </c>
      <c r="S134" s="12">
        <v>17.37</v>
      </c>
      <c r="T134" s="12">
        <v>3</v>
      </c>
      <c r="U134" s="35">
        <f>S134*T134-P134-Q134-X134-Y134</f>
        <v>43.46</v>
      </c>
      <c r="V134" s="12"/>
      <c r="W134" s="12"/>
      <c r="X134" s="12">
        <v>2</v>
      </c>
      <c r="Y134" s="12"/>
    </row>
    <row r="135" spans="1:25" ht="30" customHeight="1" x14ac:dyDescent="0.25">
      <c r="A135" s="145" t="s">
        <v>230</v>
      </c>
      <c r="B135" s="145" t="s">
        <v>228</v>
      </c>
      <c r="C135" s="145" t="s">
        <v>1137</v>
      </c>
      <c r="D135" s="145" t="s">
        <v>101</v>
      </c>
      <c r="E135" s="168">
        <v>2.5</v>
      </c>
      <c r="F135" s="145" t="s">
        <v>4</v>
      </c>
      <c r="G135" s="6" t="s">
        <v>5</v>
      </c>
      <c r="H135" s="181" t="s">
        <v>738</v>
      </c>
      <c r="I135" s="6"/>
      <c r="J135" s="6"/>
      <c r="K135" s="5" t="s">
        <v>1449</v>
      </c>
      <c r="L135" s="12" t="s">
        <v>81</v>
      </c>
      <c r="M135" s="22" t="s">
        <v>7</v>
      </c>
      <c r="N135" s="22">
        <v>875</v>
      </c>
      <c r="O135" s="22">
        <v>2125</v>
      </c>
      <c r="P135" s="49">
        <f t="shared" si="3"/>
        <v>1.859375</v>
      </c>
      <c r="Q135" s="12"/>
      <c r="R135" s="12"/>
      <c r="S135" s="12">
        <v>6.39</v>
      </c>
      <c r="T135" s="12">
        <v>2.6</v>
      </c>
      <c r="U135" s="24"/>
      <c r="V135" s="12"/>
      <c r="W135" s="12"/>
      <c r="X135" s="152">
        <f>S135*T135-P135-Q135-Y135</f>
        <v>14.754625000000001</v>
      </c>
      <c r="Y135" s="12"/>
    </row>
    <row r="136" spans="1:25" ht="30" customHeight="1" x14ac:dyDescent="0.25">
      <c r="A136" s="145" t="s">
        <v>230</v>
      </c>
      <c r="B136" s="145" t="s">
        <v>228</v>
      </c>
      <c r="C136" s="145" t="s">
        <v>1138</v>
      </c>
      <c r="D136" s="145" t="s">
        <v>364</v>
      </c>
      <c r="E136" s="168">
        <v>16.3</v>
      </c>
      <c r="F136" s="145" t="s">
        <v>4</v>
      </c>
      <c r="G136" s="6" t="s">
        <v>5</v>
      </c>
      <c r="H136" s="181" t="s">
        <v>738</v>
      </c>
      <c r="I136" s="6"/>
      <c r="J136" s="6"/>
      <c r="K136" s="5" t="s">
        <v>1449</v>
      </c>
      <c r="L136" s="12" t="s">
        <v>10</v>
      </c>
      <c r="M136" s="22" t="s">
        <v>7</v>
      </c>
      <c r="N136" s="22">
        <v>2000</v>
      </c>
      <c r="O136" s="22">
        <v>2125</v>
      </c>
      <c r="P136" s="49">
        <f t="shared" si="3"/>
        <v>4.25</v>
      </c>
      <c r="Q136" s="12">
        <v>2.4</v>
      </c>
      <c r="R136" s="12">
        <v>1.2</v>
      </c>
      <c r="S136" s="12">
        <v>16.82</v>
      </c>
      <c r="T136" s="12">
        <v>3</v>
      </c>
      <c r="U136" s="49">
        <f>S136*T136-P136-Q136-X136-Y136</f>
        <v>41.81</v>
      </c>
      <c r="V136" s="12"/>
      <c r="W136" s="12"/>
      <c r="X136" s="12">
        <v>2</v>
      </c>
      <c r="Y136" s="12"/>
    </row>
    <row r="137" spans="1:25" ht="30" customHeight="1" x14ac:dyDescent="0.25">
      <c r="A137" s="145" t="s">
        <v>230</v>
      </c>
      <c r="B137" s="145" t="s">
        <v>228</v>
      </c>
      <c r="C137" s="145" t="s">
        <v>1139</v>
      </c>
      <c r="D137" s="145" t="s">
        <v>101</v>
      </c>
      <c r="E137" s="168">
        <v>2.7</v>
      </c>
      <c r="F137" s="145" t="s">
        <v>4</v>
      </c>
      <c r="G137" s="6" t="s">
        <v>5</v>
      </c>
      <c r="H137" s="181" t="s">
        <v>738</v>
      </c>
      <c r="I137" s="6"/>
      <c r="J137" s="6"/>
      <c r="K137" s="5" t="s">
        <v>1449</v>
      </c>
      <c r="L137" s="12" t="s">
        <v>81</v>
      </c>
      <c r="M137" s="22" t="s">
        <v>7</v>
      </c>
      <c r="N137" s="22">
        <v>875</v>
      </c>
      <c r="O137" s="22">
        <v>2125</v>
      </c>
      <c r="P137" s="49">
        <f t="shared" si="3"/>
        <v>1.859375</v>
      </c>
      <c r="Q137" s="12"/>
      <c r="R137" s="12"/>
      <c r="S137" s="12">
        <v>6.61</v>
      </c>
      <c r="T137" s="12">
        <v>2.6</v>
      </c>
      <c r="U137" s="24"/>
      <c r="V137" s="12"/>
      <c r="W137" s="12"/>
      <c r="X137" s="152">
        <f>S137*T137-P137-Q137-Y137</f>
        <v>15.326625</v>
      </c>
      <c r="Y137" s="12"/>
    </row>
    <row r="138" spans="1:25" ht="30" customHeight="1" x14ac:dyDescent="0.25">
      <c r="A138" s="145" t="s">
        <v>230</v>
      </c>
      <c r="B138" s="145" t="s">
        <v>228</v>
      </c>
      <c r="C138" s="145" t="s">
        <v>1140</v>
      </c>
      <c r="D138" s="145" t="s">
        <v>364</v>
      </c>
      <c r="E138" s="168">
        <v>16.2</v>
      </c>
      <c r="F138" s="145" t="s">
        <v>4</v>
      </c>
      <c r="G138" s="6" t="s">
        <v>5</v>
      </c>
      <c r="H138" s="181" t="s">
        <v>738</v>
      </c>
      <c r="I138" s="6"/>
      <c r="J138" s="6"/>
      <c r="K138" s="5" t="s">
        <v>1449</v>
      </c>
      <c r="L138" s="12" t="s">
        <v>10</v>
      </c>
      <c r="M138" s="22" t="s">
        <v>7</v>
      </c>
      <c r="N138" s="22">
        <v>2000</v>
      </c>
      <c r="O138" s="22">
        <v>2125</v>
      </c>
      <c r="P138" s="49">
        <f t="shared" si="3"/>
        <v>4.25</v>
      </c>
      <c r="Q138" s="12">
        <v>1.8</v>
      </c>
      <c r="R138" s="12">
        <v>0.9</v>
      </c>
      <c r="S138" s="12">
        <v>17.62</v>
      </c>
      <c r="T138" s="12">
        <v>3</v>
      </c>
      <c r="U138" s="49">
        <f>S138*T138-P138-Q138-X138-Y138</f>
        <v>44.81</v>
      </c>
      <c r="V138" s="12"/>
      <c r="W138" s="12"/>
      <c r="X138" s="12">
        <v>2</v>
      </c>
      <c r="Y138" s="12"/>
    </row>
    <row r="139" spans="1:25" ht="30" customHeight="1" x14ac:dyDescent="0.25">
      <c r="A139" s="145" t="s">
        <v>230</v>
      </c>
      <c r="B139" s="145" t="s">
        <v>228</v>
      </c>
      <c r="C139" s="145" t="s">
        <v>1141</v>
      </c>
      <c r="D139" s="145" t="s">
        <v>101</v>
      </c>
      <c r="E139" s="168">
        <v>2.8</v>
      </c>
      <c r="F139" s="145" t="s">
        <v>4</v>
      </c>
      <c r="G139" s="6" t="s">
        <v>5</v>
      </c>
      <c r="H139" s="181" t="s">
        <v>738</v>
      </c>
      <c r="I139" s="6"/>
      <c r="J139" s="6"/>
      <c r="K139" s="5" t="s">
        <v>1449</v>
      </c>
      <c r="L139" s="12" t="s">
        <v>81</v>
      </c>
      <c r="M139" s="22" t="s">
        <v>7</v>
      </c>
      <c r="N139" s="22">
        <v>875</v>
      </c>
      <c r="O139" s="22">
        <v>2125</v>
      </c>
      <c r="P139" s="49">
        <f t="shared" si="3"/>
        <v>1.859375</v>
      </c>
      <c r="Q139" s="12"/>
      <c r="R139" s="12"/>
      <c r="S139" s="12">
        <v>6.77</v>
      </c>
      <c r="T139" s="12">
        <v>2.6</v>
      </c>
      <c r="U139" s="24"/>
      <c r="V139" s="12"/>
      <c r="W139" s="12"/>
      <c r="X139" s="152">
        <f>S139*T139-P139-Q139-Y139</f>
        <v>15.742625</v>
      </c>
      <c r="Y139" s="12"/>
    </row>
    <row r="140" spans="1:25" ht="30" customHeight="1" x14ac:dyDescent="0.25">
      <c r="A140" s="145" t="s">
        <v>230</v>
      </c>
      <c r="B140" s="145" t="s">
        <v>228</v>
      </c>
      <c r="C140" s="145" t="s">
        <v>1142</v>
      </c>
      <c r="D140" s="145" t="s">
        <v>364</v>
      </c>
      <c r="E140" s="168">
        <v>16.2</v>
      </c>
      <c r="F140" s="145" t="s">
        <v>4</v>
      </c>
      <c r="G140" s="6" t="s">
        <v>5</v>
      </c>
      <c r="H140" s="181" t="s">
        <v>738</v>
      </c>
      <c r="I140" s="6"/>
      <c r="J140" s="6"/>
      <c r="K140" s="5" t="s">
        <v>1449</v>
      </c>
      <c r="L140" s="12" t="s">
        <v>10</v>
      </c>
      <c r="M140" s="22" t="s">
        <v>7</v>
      </c>
      <c r="N140" s="22">
        <v>2000</v>
      </c>
      <c r="O140" s="22">
        <v>2125</v>
      </c>
      <c r="P140" s="49">
        <f t="shared" si="3"/>
        <v>4.25</v>
      </c>
      <c r="Q140" s="12">
        <v>2.4</v>
      </c>
      <c r="R140" s="12">
        <v>1.2</v>
      </c>
      <c r="S140" s="12">
        <v>16.72</v>
      </c>
      <c r="T140" s="12">
        <v>3</v>
      </c>
      <c r="U140" s="49">
        <f>S140*T140-P140-Q140-X140-Y140</f>
        <v>41.51</v>
      </c>
      <c r="V140" s="12"/>
      <c r="W140" s="12"/>
      <c r="X140" s="12">
        <v>2</v>
      </c>
      <c r="Y140" s="12"/>
    </row>
    <row r="141" spans="1:25" ht="30" customHeight="1" x14ac:dyDescent="0.25">
      <c r="A141" s="145" t="s">
        <v>230</v>
      </c>
      <c r="B141" s="145" t="s">
        <v>228</v>
      </c>
      <c r="C141" s="145" t="s">
        <v>1143</v>
      </c>
      <c r="D141" s="145" t="s">
        <v>101</v>
      </c>
      <c r="E141" s="168">
        <v>2.8</v>
      </c>
      <c r="F141" s="145" t="s">
        <v>4</v>
      </c>
      <c r="G141" s="6" t="s">
        <v>5</v>
      </c>
      <c r="H141" s="181" t="s">
        <v>738</v>
      </c>
      <c r="I141" s="6"/>
      <c r="J141" s="6"/>
      <c r="K141" s="5" t="s">
        <v>1449</v>
      </c>
      <c r="L141" s="12" t="s">
        <v>81</v>
      </c>
      <c r="M141" s="22" t="s">
        <v>7</v>
      </c>
      <c r="N141" s="22">
        <v>875</v>
      </c>
      <c r="O141" s="22">
        <v>2125</v>
      </c>
      <c r="P141" s="49">
        <f t="shared" si="3"/>
        <v>1.859375</v>
      </c>
      <c r="Q141" s="12"/>
      <c r="R141" s="12"/>
      <c r="S141" s="12">
        <v>6.79</v>
      </c>
      <c r="T141" s="12">
        <v>2.6</v>
      </c>
      <c r="U141" s="24"/>
      <c r="V141" s="12"/>
      <c r="W141" s="12"/>
      <c r="X141" s="152">
        <f>S141*T141-P141-Q141-Y141</f>
        <v>15.794625</v>
      </c>
      <c r="Y141" s="12"/>
    </row>
    <row r="142" spans="1:25" ht="30" customHeight="1" x14ac:dyDescent="0.25">
      <c r="A142" s="145" t="s">
        <v>230</v>
      </c>
      <c r="B142" s="145" t="s">
        <v>228</v>
      </c>
      <c r="C142" s="145" t="s">
        <v>1144</v>
      </c>
      <c r="D142" s="145" t="s">
        <v>100</v>
      </c>
      <c r="E142" s="168">
        <v>20.8</v>
      </c>
      <c r="F142" s="145" t="s">
        <v>4</v>
      </c>
      <c r="G142" s="6" t="s">
        <v>5</v>
      </c>
      <c r="H142" s="181" t="s">
        <v>738</v>
      </c>
      <c r="I142" s="6"/>
      <c r="J142" s="6"/>
      <c r="K142" s="5" t="s">
        <v>1449</v>
      </c>
      <c r="L142" s="12" t="s">
        <v>10</v>
      </c>
      <c r="M142" s="22" t="s">
        <v>7</v>
      </c>
      <c r="N142" s="22">
        <v>2000</v>
      </c>
      <c r="O142" s="22">
        <v>2125</v>
      </c>
      <c r="P142" s="49">
        <f t="shared" si="3"/>
        <v>4.25</v>
      </c>
      <c r="Q142" s="12">
        <v>2.4</v>
      </c>
      <c r="R142" s="12">
        <v>1.2</v>
      </c>
      <c r="S142" s="12">
        <v>19.850000000000001</v>
      </c>
      <c r="T142" s="12">
        <v>3</v>
      </c>
      <c r="U142" s="49">
        <f>S142*T142-P142-Q142-X142-Y142</f>
        <v>50.900000000000006</v>
      </c>
      <c r="V142" s="12"/>
      <c r="W142" s="12"/>
      <c r="X142" s="12">
        <v>2</v>
      </c>
      <c r="Y142" s="12"/>
    </row>
    <row r="143" spans="1:25" ht="30" customHeight="1" x14ac:dyDescent="0.25">
      <c r="A143" s="145" t="s">
        <v>230</v>
      </c>
      <c r="B143" s="145" t="s">
        <v>228</v>
      </c>
      <c r="C143" s="145" t="s">
        <v>1145</v>
      </c>
      <c r="D143" s="145" t="s">
        <v>101</v>
      </c>
      <c r="E143" s="168">
        <v>2.8</v>
      </c>
      <c r="F143" s="145" t="s">
        <v>4</v>
      </c>
      <c r="G143" s="6" t="s">
        <v>5</v>
      </c>
      <c r="H143" s="181" t="s">
        <v>738</v>
      </c>
      <c r="I143" s="6"/>
      <c r="J143" s="6"/>
      <c r="K143" s="5" t="s">
        <v>1449</v>
      </c>
      <c r="L143" s="12" t="s">
        <v>81</v>
      </c>
      <c r="M143" s="22" t="s">
        <v>7</v>
      </c>
      <c r="N143" s="22">
        <v>875</v>
      </c>
      <c r="O143" s="22">
        <v>2125</v>
      </c>
      <c r="P143" s="49">
        <f t="shared" si="3"/>
        <v>1.859375</v>
      </c>
      <c r="Q143" s="12"/>
      <c r="R143" s="12"/>
      <c r="S143" s="12">
        <v>6.79</v>
      </c>
      <c r="T143" s="12">
        <v>2.6</v>
      </c>
      <c r="U143" s="12"/>
      <c r="V143" s="12"/>
      <c r="W143" s="12"/>
      <c r="X143" s="152">
        <f>S143*T143-P143-Q143-Y143</f>
        <v>15.794625</v>
      </c>
      <c r="Y143" s="12"/>
    </row>
    <row r="144" spans="1:25" ht="30" customHeight="1" x14ac:dyDescent="0.25">
      <c r="A144" s="151" t="s">
        <v>230</v>
      </c>
      <c r="B144" s="151" t="s">
        <v>5</v>
      </c>
      <c r="C144" s="239" t="s">
        <v>1146</v>
      </c>
      <c r="D144" s="151" t="s">
        <v>224</v>
      </c>
      <c r="E144" s="170">
        <v>1</v>
      </c>
      <c r="F144" s="151" t="s">
        <v>4</v>
      </c>
      <c r="G144" s="6" t="s">
        <v>5</v>
      </c>
      <c r="H144" s="181" t="s">
        <v>738</v>
      </c>
      <c r="I144" s="6"/>
      <c r="J144" s="6"/>
      <c r="K144" s="5" t="s">
        <v>1449</v>
      </c>
      <c r="L144" s="12" t="s">
        <v>81</v>
      </c>
      <c r="M144" s="24" t="s">
        <v>7</v>
      </c>
      <c r="N144" s="154">
        <v>750</v>
      </c>
      <c r="O144" s="154">
        <v>2100</v>
      </c>
      <c r="P144" s="49">
        <f t="shared" si="3"/>
        <v>1.575</v>
      </c>
      <c r="Q144" s="12"/>
      <c r="R144" s="12"/>
      <c r="S144" s="12">
        <v>4.49</v>
      </c>
      <c r="T144" s="12">
        <v>2.6</v>
      </c>
      <c r="U144" s="24"/>
      <c r="V144" s="12"/>
      <c r="W144" s="12"/>
      <c r="X144" s="152">
        <f>S144*T144-P144-Q144-Y144</f>
        <v>10.099000000000002</v>
      </c>
      <c r="Y144" s="12"/>
    </row>
    <row r="145" spans="1:25" ht="30" customHeight="1" x14ac:dyDescent="0.25">
      <c r="A145" s="145" t="s">
        <v>230</v>
      </c>
      <c r="B145" s="145" t="s">
        <v>361</v>
      </c>
      <c r="C145" s="145" t="s">
        <v>1147</v>
      </c>
      <c r="D145" s="145" t="s">
        <v>372</v>
      </c>
      <c r="E145" s="168">
        <v>12.3</v>
      </c>
      <c r="F145" s="145" t="s">
        <v>4</v>
      </c>
      <c r="G145" s="6" t="s">
        <v>77</v>
      </c>
      <c r="H145" s="181" t="s">
        <v>738</v>
      </c>
      <c r="I145" s="6"/>
      <c r="J145" s="6"/>
      <c r="K145" s="5" t="s">
        <v>1449</v>
      </c>
      <c r="L145" s="12" t="s">
        <v>10</v>
      </c>
      <c r="M145" s="8" t="s">
        <v>7</v>
      </c>
      <c r="N145" s="8">
        <v>875</v>
      </c>
      <c r="O145" s="8">
        <v>2125</v>
      </c>
      <c r="P145" s="35">
        <f t="shared" si="3"/>
        <v>1.859375</v>
      </c>
      <c r="Q145" s="24">
        <v>3.45</v>
      </c>
      <c r="R145" s="12">
        <v>1.1299999999999999</v>
      </c>
      <c r="S145" s="12">
        <v>14.93</v>
      </c>
      <c r="T145" s="24">
        <v>3</v>
      </c>
      <c r="U145" s="35">
        <f>S145*T145-P145-Q145-X145-Y145</f>
        <v>38.220624999999998</v>
      </c>
      <c r="V145" s="12"/>
      <c r="W145" s="12"/>
      <c r="X145" s="12">
        <v>1.26</v>
      </c>
      <c r="Y145" s="12"/>
    </row>
    <row r="146" spans="1:25" ht="30" customHeight="1" x14ac:dyDescent="0.25">
      <c r="A146" s="145" t="s">
        <v>230</v>
      </c>
      <c r="B146" s="145" t="s">
        <v>361</v>
      </c>
      <c r="C146" s="145" t="s">
        <v>1148</v>
      </c>
      <c r="D146" s="145" t="s">
        <v>100</v>
      </c>
      <c r="E146" s="168">
        <v>20.2</v>
      </c>
      <c r="F146" s="145" t="s">
        <v>4</v>
      </c>
      <c r="G146" s="6" t="s">
        <v>77</v>
      </c>
      <c r="H146" s="181" t="s">
        <v>738</v>
      </c>
      <c r="I146" s="6"/>
      <c r="J146" s="6"/>
      <c r="K146" s="5" t="s">
        <v>1449</v>
      </c>
      <c r="L146" s="12" t="s">
        <v>10</v>
      </c>
      <c r="M146" s="8" t="s">
        <v>7</v>
      </c>
      <c r="N146" s="8">
        <v>2000</v>
      </c>
      <c r="O146" s="8">
        <v>2125</v>
      </c>
      <c r="P146" s="35">
        <f t="shared" si="3"/>
        <v>4.25</v>
      </c>
      <c r="Q146" s="24">
        <v>2.4</v>
      </c>
      <c r="R146" s="12">
        <v>1.2</v>
      </c>
      <c r="S146" s="12">
        <v>19.649999999999999</v>
      </c>
      <c r="T146" s="24">
        <v>3</v>
      </c>
      <c r="U146" s="35">
        <f>S146*T146-P146-Q146-X146-Y146</f>
        <v>50.3</v>
      </c>
      <c r="V146" s="12"/>
      <c r="W146" s="12"/>
      <c r="X146" s="12">
        <v>2</v>
      </c>
      <c r="Y146" s="12"/>
    </row>
    <row r="147" spans="1:25" ht="30" customHeight="1" x14ac:dyDescent="0.25">
      <c r="A147" s="145" t="s">
        <v>230</v>
      </c>
      <c r="B147" s="145" t="s">
        <v>361</v>
      </c>
      <c r="C147" s="145" t="s">
        <v>1149</v>
      </c>
      <c r="D147" s="145" t="s">
        <v>101</v>
      </c>
      <c r="E147" s="168">
        <v>2.8</v>
      </c>
      <c r="F147" s="145" t="s">
        <v>4</v>
      </c>
      <c r="G147" s="6" t="s">
        <v>77</v>
      </c>
      <c r="H147" s="181" t="s">
        <v>738</v>
      </c>
      <c r="I147" s="6"/>
      <c r="J147" s="6"/>
      <c r="K147" s="5" t="s">
        <v>1449</v>
      </c>
      <c r="L147" s="12" t="s">
        <v>6</v>
      </c>
      <c r="M147" s="8" t="s">
        <v>7</v>
      </c>
      <c r="N147" s="8">
        <v>875</v>
      </c>
      <c r="O147" s="8">
        <v>2125</v>
      </c>
      <c r="P147" s="35">
        <f t="shared" si="3"/>
        <v>1.859375</v>
      </c>
      <c r="Q147" s="24"/>
      <c r="R147" s="12"/>
      <c r="S147" s="12">
        <v>6.79</v>
      </c>
      <c r="T147" s="24">
        <v>2.6</v>
      </c>
      <c r="U147" s="12"/>
      <c r="V147" s="12"/>
      <c r="W147" s="12"/>
      <c r="X147" s="152">
        <f>S147*T147-P147-Q147-Y147</f>
        <v>15.794625</v>
      </c>
      <c r="Y147" s="12"/>
    </row>
    <row r="148" spans="1:25" ht="30" customHeight="1" x14ac:dyDescent="0.25">
      <c r="A148" s="145" t="s">
        <v>230</v>
      </c>
      <c r="B148" s="145" t="s">
        <v>361</v>
      </c>
      <c r="C148" s="145" t="s">
        <v>1150</v>
      </c>
      <c r="D148" s="145" t="s">
        <v>100</v>
      </c>
      <c r="E148" s="168">
        <v>20.8</v>
      </c>
      <c r="F148" s="145" t="s">
        <v>4</v>
      </c>
      <c r="G148" s="6" t="s">
        <v>77</v>
      </c>
      <c r="H148" s="181" t="s">
        <v>738</v>
      </c>
      <c r="I148" s="6"/>
      <c r="J148" s="6"/>
      <c r="K148" s="5" t="s">
        <v>1449</v>
      </c>
      <c r="L148" s="12" t="s">
        <v>10</v>
      </c>
      <c r="M148" s="8" t="s">
        <v>7</v>
      </c>
      <c r="N148" s="8">
        <v>2000</v>
      </c>
      <c r="O148" s="8">
        <v>2125</v>
      </c>
      <c r="P148" s="35">
        <f t="shared" si="3"/>
        <v>4.25</v>
      </c>
      <c r="Q148" s="24">
        <v>2.4</v>
      </c>
      <c r="R148" s="12">
        <v>1.2</v>
      </c>
      <c r="S148" s="12">
        <v>19.850000000000001</v>
      </c>
      <c r="T148" s="24">
        <v>3</v>
      </c>
      <c r="U148" s="35">
        <f>S148*T148-P148-Q148-X148-Y148</f>
        <v>50.900000000000006</v>
      </c>
      <c r="V148" s="12"/>
      <c r="W148" s="12"/>
      <c r="X148" s="12">
        <v>2</v>
      </c>
      <c r="Y148" s="12"/>
    </row>
    <row r="149" spans="1:25" ht="30" customHeight="1" x14ac:dyDescent="0.25">
      <c r="A149" s="145" t="s">
        <v>230</v>
      </c>
      <c r="B149" s="145" t="s">
        <v>361</v>
      </c>
      <c r="C149" s="145" t="s">
        <v>1151</v>
      </c>
      <c r="D149" s="145" t="s">
        <v>101</v>
      </c>
      <c r="E149" s="168">
        <v>2.8</v>
      </c>
      <c r="F149" s="145" t="s">
        <v>4</v>
      </c>
      <c r="G149" s="6" t="s">
        <v>77</v>
      </c>
      <c r="H149" s="181" t="s">
        <v>738</v>
      </c>
      <c r="I149" s="6"/>
      <c r="J149" s="6"/>
      <c r="K149" s="5" t="s">
        <v>1449</v>
      </c>
      <c r="L149" s="12" t="s">
        <v>81</v>
      </c>
      <c r="M149" s="8" t="s">
        <v>7</v>
      </c>
      <c r="N149" s="8">
        <v>875</v>
      </c>
      <c r="O149" s="8">
        <v>2125</v>
      </c>
      <c r="P149" s="35">
        <f t="shared" si="3"/>
        <v>1.859375</v>
      </c>
      <c r="Q149" s="24"/>
      <c r="R149" s="12"/>
      <c r="S149" s="12">
        <v>6.79</v>
      </c>
      <c r="T149" s="24">
        <v>2.6</v>
      </c>
      <c r="U149" s="12"/>
      <c r="V149" s="12"/>
      <c r="W149" s="12"/>
      <c r="X149" s="152">
        <f>S149*T149-P149-Q149-Y149</f>
        <v>15.794625</v>
      </c>
      <c r="Y149" s="12"/>
    </row>
    <row r="150" spans="1:25" ht="30" customHeight="1" x14ac:dyDescent="0.25">
      <c r="A150" s="151" t="s">
        <v>230</v>
      </c>
      <c r="B150" s="151" t="s">
        <v>278</v>
      </c>
      <c r="C150" s="151" t="s">
        <v>1152</v>
      </c>
      <c r="D150" s="151" t="s">
        <v>373</v>
      </c>
      <c r="E150" s="170">
        <v>10.9</v>
      </c>
      <c r="F150" s="151" t="s">
        <v>4</v>
      </c>
      <c r="G150" s="6" t="s">
        <v>77</v>
      </c>
      <c r="H150" s="181" t="s">
        <v>738</v>
      </c>
      <c r="I150" s="6"/>
      <c r="J150" s="6"/>
      <c r="K150" s="5" t="s">
        <v>1449</v>
      </c>
      <c r="L150" s="12" t="s">
        <v>10</v>
      </c>
      <c r="M150" s="8" t="s">
        <v>7</v>
      </c>
      <c r="N150" s="8">
        <v>3125</v>
      </c>
      <c r="O150" s="8">
        <v>2125</v>
      </c>
      <c r="P150" s="35">
        <f t="shared" si="3"/>
        <v>6.640625</v>
      </c>
      <c r="Q150" s="24"/>
      <c r="R150" s="12"/>
      <c r="S150" s="12">
        <v>13.91</v>
      </c>
      <c r="T150" s="24">
        <v>3</v>
      </c>
      <c r="U150" s="152">
        <f>S150*0.4</f>
        <v>5.5640000000000001</v>
      </c>
      <c r="V150" s="152"/>
      <c r="W150" s="152">
        <f>S150*T150-U150-Y150-P150-Q150</f>
        <v>29.525375000000004</v>
      </c>
      <c r="X150" s="152"/>
      <c r="Y150" s="12"/>
    </row>
    <row r="151" spans="1:25" ht="30" customHeight="1" x14ac:dyDescent="0.25">
      <c r="A151" s="151" t="s">
        <v>230</v>
      </c>
      <c r="B151" s="151" t="s">
        <v>278</v>
      </c>
      <c r="C151" s="151" t="s">
        <v>1153</v>
      </c>
      <c r="D151" s="151" t="s">
        <v>151</v>
      </c>
      <c r="E151" s="170">
        <v>3.5</v>
      </c>
      <c r="F151" s="151" t="s">
        <v>4</v>
      </c>
      <c r="G151" s="6" t="s">
        <v>77</v>
      </c>
      <c r="H151" s="181" t="s">
        <v>738</v>
      </c>
      <c r="I151" s="6"/>
      <c r="J151" s="6"/>
      <c r="K151" s="5" t="s">
        <v>1449</v>
      </c>
      <c r="L151" s="12" t="s">
        <v>6</v>
      </c>
      <c r="M151" s="8" t="s">
        <v>7</v>
      </c>
      <c r="N151" s="8">
        <v>875</v>
      </c>
      <c r="O151" s="8">
        <v>2125</v>
      </c>
      <c r="P151" s="35">
        <f t="shared" si="3"/>
        <v>1.859375</v>
      </c>
      <c r="Q151" s="24"/>
      <c r="R151" s="12"/>
      <c r="S151" s="12">
        <v>8.06</v>
      </c>
      <c r="T151" s="24">
        <v>2.6</v>
      </c>
      <c r="U151" s="35">
        <f>S151*T151-P151-Q151-X151-Y151</f>
        <v>4.0081250000000015</v>
      </c>
      <c r="V151" s="12"/>
      <c r="W151" s="12"/>
      <c r="X151" s="12">
        <f>(S151-N151/1000)*2.1</f>
        <v>15.088500000000002</v>
      </c>
      <c r="Y151" s="12"/>
    </row>
    <row r="152" spans="1:25" ht="30" customHeight="1" x14ac:dyDescent="0.25">
      <c r="A152" s="151" t="s">
        <v>230</v>
      </c>
      <c r="B152" s="151" t="s">
        <v>278</v>
      </c>
      <c r="C152" s="151" t="s">
        <v>1154</v>
      </c>
      <c r="D152" s="151" t="s">
        <v>374</v>
      </c>
      <c r="E152" s="170">
        <v>26.6</v>
      </c>
      <c r="F152" s="151" t="s">
        <v>4</v>
      </c>
      <c r="G152" s="6" t="s">
        <v>77</v>
      </c>
      <c r="H152" s="181" t="s">
        <v>738</v>
      </c>
      <c r="I152" s="6"/>
      <c r="J152" s="6"/>
      <c r="K152" s="5" t="s">
        <v>1449</v>
      </c>
      <c r="L152" s="12" t="s">
        <v>10</v>
      </c>
      <c r="M152" s="8" t="s">
        <v>7</v>
      </c>
      <c r="N152" s="8">
        <v>2000</v>
      </c>
      <c r="O152" s="8">
        <v>2125</v>
      </c>
      <c r="P152" s="35">
        <f t="shared" si="3"/>
        <v>4.25</v>
      </c>
      <c r="Q152" s="24">
        <v>12.07</v>
      </c>
      <c r="R152" s="12">
        <v>1.95</v>
      </c>
      <c r="S152" s="12">
        <v>21</v>
      </c>
      <c r="T152" s="24">
        <v>3</v>
      </c>
      <c r="U152" s="152">
        <f>S152*0.4</f>
        <v>8.4</v>
      </c>
      <c r="V152" s="152"/>
      <c r="W152" s="152">
        <f>S152*T152-U152-Y152-P152-Q152</f>
        <v>38.28</v>
      </c>
      <c r="X152" s="152"/>
      <c r="Y152" s="12"/>
    </row>
    <row r="153" spans="1:25" ht="30" customHeight="1" x14ac:dyDescent="0.25">
      <c r="A153" s="151" t="s">
        <v>230</v>
      </c>
      <c r="B153" s="151" t="s">
        <v>278</v>
      </c>
      <c r="C153" s="151" t="s">
        <v>1155</v>
      </c>
      <c r="D153" s="151" t="s">
        <v>101</v>
      </c>
      <c r="E153" s="170">
        <v>3.8</v>
      </c>
      <c r="F153" s="151" t="s">
        <v>4</v>
      </c>
      <c r="G153" s="6" t="s">
        <v>77</v>
      </c>
      <c r="H153" s="181" t="s">
        <v>738</v>
      </c>
      <c r="I153" s="6"/>
      <c r="J153" s="6"/>
      <c r="K153" s="5" t="s">
        <v>1449</v>
      </c>
      <c r="L153" s="12" t="s">
        <v>81</v>
      </c>
      <c r="M153" s="8" t="s">
        <v>7</v>
      </c>
      <c r="N153" s="8">
        <v>875</v>
      </c>
      <c r="O153" s="8">
        <v>2125</v>
      </c>
      <c r="P153" s="35">
        <f t="shared" si="3"/>
        <v>1.859375</v>
      </c>
      <c r="Q153" s="24"/>
      <c r="R153" s="12"/>
      <c r="S153" s="12">
        <v>8.5399999999999991</v>
      </c>
      <c r="T153" s="24">
        <v>2.6</v>
      </c>
      <c r="U153" s="12"/>
      <c r="V153" s="12"/>
      <c r="W153" s="12"/>
      <c r="X153" s="152">
        <f>S153*T153-P153-Q153-Y153</f>
        <v>20.344624999999997</v>
      </c>
      <c r="Y153" s="12"/>
    </row>
    <row r="154" spans="1:25" ht="30" customHeight="1" x14ac:dyDescent="0.25">
      <c r="A154" s="145" t="s">
        <v>230</v>
      </c>
      <c r="B154" s="145" t="s">
        <v>228</v>
      </c>
      <c r="C154" s="145" t="s">
        <v>1156</v>
      </c>
      <c r="D154" s="145" t="s">
        <v>100</v>
      </c>
      <c r="E154" s="168">
        <v>20.8</v>
      </c>
      <c r="F154" s="145" t="s">
        <v>4</v>
      </c>
      <c r="G154" s="6" t="s">
        <v>77</v>
      </c>
      <c r="H154" s="181" t="s">
        <v>738</v>
      </c>
      <c r="I154" s="6"/>
      <c r="J154" s="6"/>
      <c r="K154" s="5" t="s">
        <v>1449</v>
      </c>
      <c r="L154" s="12" t="s">
        <v>10</v>
      </c>
      <c r="M154" s="6" t="s">
        <v>7</v>
      </c>
      <c r="N154" s="6">
        <v>1125</v>
      </c>
      <c r="O154" s="6">
        <v>2125</v>
      </c>
      <c r="P154" s="35">
        <f t="shared" si="3"/>
        <v>2.390625</v>
      </c>
      <c r="Q154" s="24">
        <v>3.45</v>
      </c>
      <c r="R154" s="12">
        <v>1.1200000000000001</v>
      </c>
      <c r="S154" s="12">
        <v>19.399999999999999</v>
      </c>
      <c r="T154" s="24">
        <v>3</v>
      </c>
      <c r="U154" s="35">
        <f>S154*T154-P154-Q154-X154-Y154</f>
        <v>50.359374999999993</v>
      </c>
      <c r="V154" s="12"/>
      <c r="W154" s="12"/>
      <c r="X154" s="12">
        <v>2</v>
      </c>
      <c r="Y154" s="12"/>
    </row>
    <row r="155" spans="1:25" ht="30" customHeight="1" x14ac:dyDescent="0.25">
      <c r="A155" s="145" t="s">
        <v>230</v>
      </c>
      <c r="B155" s="145" t="s">
        <v>228</v>
      </c>
      <c r="C155" s="145" t="s">
        <v>1157</v>
      </c>
      <c r="D155" s="145" t="s">
        <v>100</v>
      </c>
      <c r="E155" s="168">
        <v>20.8</v>
      </c>
      <c r="F155" s="145" t="s">
        <v>4</v>
      </c>
      <c r="G155" s="6" t="s">
        <v>77</v>
      </c>
      <c r="H155" s="181" t="s">
        <v>738</v>
      </c>
      <c r="I155" s="6"/>
      <c r="J155" s="6"/>
      <c r="K155" s="5" t="s">
        <v>1449</v>
      </c>
      <c r="L155" s="12" t="s">
        <v>10</v>
      </c>
      <c r="M155" s="6" t="s">
        <v>7</v>
      </c>
      <c r="N155" s="6">
        <v>1125</v>
      </c>
      <c r="O155" s="6">
        <v>2125</v>
      </c>
      <c r="P155" s="35">
        <f t="shared" si="3"/>
        <v>2.390625</v>
      </c>
      <c r="Q155" s="24">
        <v>3.45</v>
      </c>
      <c r="R155" s="12">
        <v>1.1200000000000001</v>
      </c>
      <c r="S155" s="12">
        <v>19.399999999999999</v>
      </c>
      <c r="T155" s="24">
        <v>3</v>
      </c>
      <c r="U155" s="35">
        <f>S155*T155-P155-Q155-X155-Y155</f>
        <v>50.359374999999993</v>
      </c>
      <c r="V155" s="12"/>
      <c r="W155" s="12"/>
      <c r="X155" s="12">
        <v>2</v>
      </c>
      <c r="Y155" s="12"/>
    </row>
    <row r="156" spans="1:25" ht="30" customHeight="1" x14ac:dyDescent="0.25">
      <c r="A156" s="145" t="s">
        <v>230</v>
      </c>
      <c r="B156" s="145" t="s">
        <v>228</v>
      </c>
      <c r="C156" s="145" t="s">
        <v>1158</v>
      </c>
      <c r="D156" s="145" t="s">
        <v>100</v>
      </c>
      <c r="E156" s="168">
        <v>17.7</v>
      </c>
      <c r="F156" s="145" t="s">
        <v>4</v>
      </c>
      <c r="G156" s="6" t="s">
        <v>77</v>
      </c>
      <c r="H156" s="181" t="s">
        <v>738</v>
      </c>
      <c r="I156" s="6"/>
      <c r="J156" s="6"/>
      <c r="K156" s="5" t="s">
        <v>1449</v>
      </c>
      <c r="L156" s="12" t="s">
        <v>10</v>
      </c>
      <c r="M156" s="6" t="s">
        <v>7</v>
      </c>
      <c r="N156" s="6">
        <v>875</v>
      </c>
      <c r="O156" s="6">
        <v>2125</v>
      </c>
      <c r="P156" s="35">
        <f t="shared" si="3"/>
        <v>1.859375</v>
      </c>
      <c r="Q156" s="24">
        <v>3.45</v>
      </c>
      <c r="R156" s="12">
        <v>1.1200000000000001</v>
      </c>
      <c r="S156" s="12">
        <v>18.850000000000001</v>
      </c>
      <c r="T156" s="24">
        <v>3</v>
      </c>
      <c r="U156" s="35">
        <f>S156*T156-P156-Q156-X156-Y156</f>
        <v>51.240625000000001</v>
      </c>
      <c r="V156" s="12"/>
      <c r="W156" s="12"/>
      <c r="X156" s="12"/>
      <c r="Y156" s="12"/>
    </row>
    <row r="157" spans="1:25" ht="30" customHeight="1" x14ac:dyDescent="0.25">
      <c r="A157" s="145" t="s">
        <v>230</v>
      </c>
      <c r="B157" s="145" t="s">
        <v>228</v>
      </c>
      <c r="C157" s="145" t="s">
        <v>1159</v>
      </c>
      <c r="D157" s="145" t="s">
        <v>99</v>
      </c>
      <c r="E157" s="168">
        <v>1.9</v>
      </c>
      <c r="F157" s="145" t="s">
        <v>4</v>
      </c>
      <c r="G157" s="6" t="s">
        <v>77</v>
      </c>
      <c r="H157" s="181" t="s">
        <v>738</v>
      </c>
      <c r="I157" s="6"/>
      <c r="J157" s="6"/>
      <c r="K157" s="5" t="s">
        <v>1449</v>
      </c>
      <c r="L157" s="12" t="s">
        <v>6</v>
      </c>
      <c r="M157" s="6" t="s">
        <v>7</v>
      </c>
      <c r="N157" s="6">
        <v>750</v>
      </c>
      <c r="O157" s="6">
        <v>2125</v>
      </c>
      <c r="P157" s="35">
        <f t="shared" si="3"/>
        <v>1.59375</v>
      </c>
      <c r="Q157" s="24"/>
      <c r="R157" s="12"/>
      <c r="S157" s="12">
        <v>7.65</v>
      </c>
      <c r="T157" s="24">
        <v>2.6</v>
      </c>
      <c r="U157" s="12"/>
      <c r="V157" s="12"/>
      <c r="W157" s="12"/>
      <c r="X157" s="152">
        <f>S157*T157-P157-Q157-Y157</f>
        <v>18.296250000000001</v>
      </c>
      <c r="Y157" s="12"/>
    </row>
    <row r="158" spans="1:25" ht="30" customHeight="1" x14ac:dyDescent="0.25">
      <c r="A158" s="145" t="s">
        <v>230</v>
      </c>
      <c r="B158" s="145" t="s">
        <v>228</v>
      </c>
      <c r="C158" s="145" t="s">
        <v>1160</v>
      </c>
      <c r="D158" s="145" t="s">
        <v>220</v>
      </c>
      <c r="E158" s="168">
        <v>0.8</v>
      </c>
      <c r="F158" s="145" t="s">
        <v>4</v>
      </c>
      <c r="G158" s="6" t="s">
        <v>77</v>
      </c>
      <c r="H158" s="181" t="s">
        <v>738</v>
      </c>
      <c r="I158" s="6"/>
      <c r="J158" s="6"/>
      <c r="K158" s="5" t="s">
        <v>1449</v>
      </c>
      <c r="L158" s="12" t="s">
        <v>6</v>
      </c>
      <c r="M158" s="6" t="s">
        <v>7</v>
      </c>
      <c r="N158" s="6">
        <v>900</v>
      </c>
      <c r="O158" s="6">
        <v>2000</v>
      </c>
      <c r="P158" s="35">
        <f t="shared" si="3"/>
        <v>1.7999999999999998</v>
      </c>
      <c r="Q158" s="12"/>
      <c r="R158" s="12"/>
      <c r="S158" s="12">
        <v>0</v>
      </c>
      <c r="T158" s="24">
        <v>2.6</v>
      </c>
      <c r="U158" s="12"/>
      <c r="V158" s="12"/>
      <c r="W158" s="12"/>
      <c r="X158" s="12"/>
      <c r="Y158" s="12"/>
    </row>
    <row r="159" spans="1:25" ht="30" customHeight="1" x14ac:dyDescent="0.25">
      <c r="A159" s="151" t="s">
        <v>230</v>
      </c>
      <c r="B159" s="151" t="s">
        <v>5</v>
      </c>
      <c r="C159" s="151" t="s">
        <v>1161</v>
      </c>
      <c r="D159" s="151" t="s">
        <v>1162</v>
      </c>
      <c r="E159" s="170">
        <v>40.6</v>
      </c>
      <c r="F159" s="151" t="s">
        <v>4</v>
      </c>
      <c r="G159" s="6" t="s">
        <v>77</v>
      </c>
      <c r="H159" s="181" t="s">
        <v>738</v>
      </c>
      <c r="I159" s="6"/>
      <c r="J159" s="6"/>
      <c r="K159" s="5" t="s">
        <v>1449</v>
      </c>
      <c r="L159" s="12" t="s">
        <v>6</v>
      </c>
      <c r="M159" s="12" t="s">
        <v>7</v>
      </c>
      <c r="N159" s="150">
        <v>10550</v>
      </c>
      <c r="O159" s="150">
        <v>2100</v>
      </c>
      <c r="P159" s="35">
        <f t="shared" si="3"/>
        <v>22.154999999999998</v>
      </c>
      <c r="Q159" s="12"/>
      <c r="R159" s="12"/>
      <c r="S159" s="12">
        <v>42.96</v>
      </c>
      <c r="T159" s="12">
        <v>2.7</v>
      </c>
      <c r="U159" s="35">
        <f t="shared" ref="U159:U171" si="4">S159*T159-P159-Q159-X159-Y159</f>
        <v>80.067000000000007</v>
      </c>
      <c r="V159" s="12"/>
      <c r="W159" s="12"/>
      <c r="X159" s="12"/>
      <c r="Y159" s="12">
        <v>13.77</v>
      </c>
    </row>
    <row r="160" spans="1:25" ht="30" customHeight="1" x14ac:dyDescent="0.25">
      <c r="A160" s="151" t="s">
        <v>230</v>
      </c>
      <c r="B160" s="151" t="s">
        <v>5</v>
      </c>
      <c r="C160" s="151" t="s">
        <v>1163</v>
      </c>
      <c r="D160" s="151" t="s">
        <v>55</v>
      </c>
      <c r="E160" s="170">
        <v>4.8</v>
      </c>
      <c r="F160" s="151" t="s">
        <v>4</v>
      </c>
      <c r="G160" s="6" t="s">
        <v>77</v>
      </c>
      <c r="H160" s="181" t="s">
        <v>738</v>
      </c>
      <c r="I160" s="6"/>
      <c r="J160" s="6"/>
      <c r="K160" s="5" t="s">
        <v>1449</v>
      </c>
      <c r="L160" s="12" t="s">
        <v>6</v>
      </c>
      <c r="M160" s="12" t="s">
        <v>7</v>
      </c>
      <c r="N160" s="150">
        <v>3600</v>
      </c>
      <c r="O160" s="150">
        <v>2280</v>
      </c>
      <c r="P160" s="35">
        <f t="shared" si="3"/>
        <v>8.2080000000000002</v>
      </c>
      <c r="Q160" s="24"/>
      <c r="R160" s="12"/>
      <c r="S160" s="12">
        <v>8.35</v>
      </c>
      <c r="T160" s="24">
        <v>2.7</v>
      </c>
      <c r="U160" s="35">
        <f t="shared" si="4"/>
        <v>14.337000000000002</v>
      </c>
      <c r="V160" s="12"/>
      <c r="W160" s="12"/>
      <c r="X160" s="12"/>
      <c r="Y160" s="12"/>
    </row>
    <row r="161" spans="1:25" ht="30" customHeight="1" x14ac:dyDescent="0.25">
      <c r="A161" s="151" t="s">
        <v>230</v>
      </c>
      <c r="B161" s="151" t="s">
        <v>5</v>
      </c>
      <c r="C161" s="151" t="s">
        <v>1164</v>
      </c>
      <c r="D161" s="151" t="s">
        <v>100</v>
      </c>
      <c r="E161" s="170">
        <v>20.8</v>
      </c>
      <c r="F161" s="151" t="s">
        <v>4</v>
      </c>
      <c r="G161" s="6" t="s">
        <v>77</v>
      </c>
      <c r="H161" s="181" t="s">
        <v>738</v>
      </c>
      <c r="I161" s="6"/>
      <c r="J161" s="6"/>
      <c r="K161" s="5" t="s">
        <v>1449</v>
      </c>
      <c r="L161" s="12" t="s">
        <v>10</v>
      </c>
      <c r="M161" s="12" t="s">
        <v>7</v>
      </c>
      <c r="N161" s="150">
        <v>900</v>
      </c>
      <c r="O161" s="150">
        <v>2100</v>
      </c>
      <c r="P161" s="35">
        <f t="shared" si="3"/>
        <v>1.89</v>
      </c>
      <c r="Q161" s="24">
        <v>7.12</v>
      </c>
      <c r="R161" s="12"/>
      <c r="S161" s="12">
        <v>20.77</v>
      </c>
      <c r="T161" s="24">
        <v>2.7</v>
      </c>
      <c r="U161" s="35">
        <f t="shared" si="4"/>
        <v>45.069000000000003</v>
      </c>
      <c r="V161" s="12"/>
      <c r="W161" s="12"/>
      <c r="X161" s="12">
        <v>2</v>
      </c>
      <c r="Y161" s="12"/>
    </row>
    <row r="162" spans="1:25" ht="30" customHeight="1" x14ac:dyDescent="0.25">
      <c r="A162" s="151" t="s">
        <v>230</v>
      </c>
      <c r="B162" s="151" t="s">
        <v>5</v>
      </c>
      <c r="C162" s="151" t="s">
        <v>1165</v>
      </c>
      <c r="D162" s="151" t="s">
        <v>100</v>
      </c>
      <c r="E162" s="170">
        <v>22.3</v>
      </c>
      <c r="F162" s="151" t="s">
        <v>4</v>
      </c>
      <c r="G162" s="6" t="s">
        <v>77</v>
      </c>
      <c r="H162" s="181" t="s">
        <v>738</v>
      </c>
      <c r="I162" s="6"/>
      <c r="J162" s="6"/>
      <c r="K162" s="5" t="s">
        <v>1449</v>
      </c>
      <c r="L162" s="12" t="s">
        <v>10</v>
      </c>
      <c r="M162" s="12" t="s">
        <v>7</v>
      </c>
      <c r="N162" s="150">
        <v>900</v>
      </c>
      <c r="O162" s="150">
        <v>2100</v>
      </c>
      <c r="P162" s="35">
        <f t="shared" si="3"/>
        <v>1.89</v>
      </c>
      <c r="Q162" s="24">
        <v>7.12</v>
      </c>
      <c r="R162" s="12"/>
      <c r="S162" s="12">
        <v>20.75</v>
      </c>
      <c r="T162" s="24">
        <v>2.7</v>
      </c>
      <c r="U162" s="35">
        <f t="shared" si="4"/>
        <v>45.015000000000008</v>
      </c>
      <c r="V162" s="12"/>
      <c r="W162" s="12"/>
      <c r="X162" s="12">
        <v>2</v>
      </c>
      <c r="Y162" s="12"/>
    </row>
    <row r="163" spans="1:25" ht="30" customHeight="1" x14ac:dyDescent="0.25">
      <c r="A163" s="151" t="s">
        <v>230</v>
      </c>
      <c r="B163" s="151" t="s">
        <v>5</v>
      </c>
      <c r="C163" s="151" t="s">
        <v>1166</v>
      </c>
      <c r="D163" s="151" t="s">
        <v>100</v>
      </c>
      <c r="E163" s="170">
        <v>23.4</v>
      </c>
      <c r="F163" s="151" t="s">
        <v>4</v>
      </c>
      <c r="G163" s="6" t="s">
        <v>77</v>
      </c>
      <c r="H163" s="181" t="s">
        <v>738</v>
      </c>
      <c r="I163" s="6"/>
      <c r="J163" s="6"/>
      <c r="K163" s="5" t="s">
        <v>1449</v>
      </c>
      <c r="L163" s="12" t="s">
        <v>10</v>
      </c>
      <c r="M163" s="12" t="s">
        <v>7</v>
      </c>
      <c r="N163" s="150">
        <v>1650</v>
      </c>
      <c r="O163" s="150">
        <v>2100</v>
      </c>
      <c r="P163" s="35">
        <f t="shared" si="3"/>
        <v>3.4649999999999999</v>
      </c>
      <c r="Q163" s="24">
        <v>7.12</v>
      </c>
      <c r="R163" s="12"/>
      <c r="S163" s="12">
        <v>21.15</v>
      </c>
      <c r="T163" s="24">
        <v>2.7</v>
      </c>
      <c r="U163" s="35">
        <f t="shared" si="4"/>
        <v>44.52</v>
      </c>
      <c r="V163" s="12"/>
      <c r="W163" s="12"/>
      <c r="X163" s="12">
        <v>2</v>
      </c>
      <c r="Y163" s="12"/>
    </row>
    <row r="164" spans="1:25" ht="30" customHeight="1" x14ac:dyDescent="0.25">
      <c r="A164" s="151" t="s">
        <v>230</v>
      </c>
      <c r="B164" s="151" t="s">
        <v>5</v>
      </c>
      <c r="C164" s="151" t="s">
        <v>1167</v>
      </c>
      <c r="D164" s="151" t="s">
        <v>100</v>
      </c>
      <c r="E164" s="170">
        <v>19.8</v>
      </c>
      <c r="F164" s="151" t="s">
        <v>4</v>
      </c>
      <c r="G164" s="6" t="s">
        <v>77</v>
      </c>
      <c r="H164" s="181" t="s">
        <v>738</v>
      </c>
      <c r="I164" s="6"/>
      <c r="J164" s="6"/>
      <c r="K164" s="5" t="s">
        <v>1449</v>
      </c>
      <c r="L164" s="12" t="s">
        <v>10</v>
      </c>
      <c r="M164" s="12" t="s">
        <v>7</v>
      </c>
      <c r="N164" s="150">
        <v>1650</v>
      </c>
      <c r="O164" s="150">
        <v>2100</v>
      </c>
      <c r="P164" s="35">
        <f t="shared" si="3"/>
        <v>3.4649999999999999</v>
      </c>
      <c r="Q164" s="24">
        <v>7.12</v>
      </c>
      <c r="R164" s="12"/>
      <c r="S164" s="12">
        <v>20.329999999999998</v>
      </c>
      <c r="T164" s="24">
        <v>2.7</v>
      </c>
      <c r="U164" s="35">
        <f t="shared" si="4"/>
        <v>42.306000000000004</v>
      </c>
      <c r="V164" s="12"/>
      <c r="W164" s="12"/>
      <c r="X164" s="12">
        <v>2</v>
      </c>
      <c r="Y164" s="12"/>
    </row>
    <row r="165" spans="1:25" ht="30" customHeight="1" x14ac:dyDescent="0.25">
      <c r="A165" s="151" t="s">
        <v>230</v>
      </c>
      <c r="B165" s="151" t="s">
        <v>5</v>
      </c>
      <c r="C165" s="151" t="s">
        <v>1168</v>
      </c>
      <c r="D165" s="151" t="s">
        <v>100</v>
      </c>
      <c r="E165" s="170">
        <v>11.4</v>
      </c>
      <c r="F165" s="151" t="s">
        <v>4</v>
      </c>
      <c r="G165" s="6" t="s">
        <v>77</v>
      </c>
      <c r="H165" s="181" t="s">
        <v>738</v>
      </c>
      <c r="I165" s="6"/>
      <c r="J165" s="6"/>
      <c r="K165" s="5" t="s">
        <v>1449</v>
      </c>
      <c r="L165" s="12" t="s">
        <v>10</v>
      </c>
      <c r="M165" s="12" t="s">
        <v>7</v>
      </c>
      <c r="N165" s="150">
        <v>900</v>
      </c>
      <c r="O165" s="150">
        <v>2100</v>
      </c>
      <c r="P165" s="35">
        <f t="shared" si="3"/>
        <v>1.89</v>
      </c>
      <c r="Q165" s="24">
        <v>5.92</v>
      </c>
      <c r="R165" s="12"/>
      <c r="S165" s="12">
        <v>14.65</v>
      </c>
      <c r="T165" s="24">
        <v>2.7</v>
      </c>
      <c r="U165" s="35">
        <f t="shared" si="4"/>
        <v>31.745000000000005</v>
      </c>
      <c r="V165" s="12"/>
      <c r="W165" s="12"/>
      <c r="X165" s="12"/>
      <c r="Y165" s="12"/>
    </row>
    <row r="166" spans="1:25" ht="30" customHeight="1" x14ac:dyDescent="0.25">
      <c r="A166" s="151" t="s">
        <v>230</v>
      </c>
      <c r="B166" s="151" t="s">
        <v>5</v>
      </c>
      <c r="C166" s="151" t="s">
        <v>1169</v>
      </c>
      <c r="D166" s="151" t="s">
        <v>100</v>
      </c>
      <c r="E166" s="170">
        <v>10.4</v>
      </c>
      <c r="F166" s="151" t="s">
        <v>4</v>
      </c>
      <c r="G166" s="6" t="s">
        <v>77</v>
      </c>
      <c r="H166" s="181" t="s">
        <v>738</v>
      </c>
      <c r="I166" s="6"/>
      <c r="J166" s="6"/>
      <c r="K166" s="5" t="s">
        <v>1449</v>
      </c>
      <c r="L166" s="12" t="s">
        <v>10</v>
      </c>
      <c r="M166" s="56" t="s">
        <v>7</v>
      </c>
      <c r="N166" s="174">
        <v>900</v>
      </c>
      <c r="O166" s="174">
        <v>2100</v>
      </c>
      <c r="P166" s="35">
        <f t="shared" si="3"/>
        <v>1.89</v>
      </c>
      <c r="Q166" s="24">
        <v>3.14</v>
      </c>
      <c r="R166" s="12"/>
      <c r="S166" s="12">
        <v>13.55</v>
      </c>
      <c r="T166" s="24">
        <v>2.7</v>
      </c>
      <c r="U166" s="35">
        <f t="shared" si="4"/>
        <v>31.555</v>
      </c>
      <c r="V166" s="12"/>
      <c r="W166" s="12"/>
      <c r="X166" s="12"/>
      <c r="Y166" s="12"/>
    </row>
    <row r="167" spans="1:25" ht="30" customHeight="1" x14ac:dyDescent="0.25">
      <c r="A167" s="151" t="s">
        <v>230</v>
      </c>
      <c r="B167" s="151" t="s">
        <v>5</v>
      </c>
      <c r="C167" s="151" t="s">
        <v>1170</v>
      </c>
      <c r="D167" s="151" t="s">
        <v>3</v>
      </c>
      <c r="E167" s="170">
        <v>3.3</v>
      </c>
      <c r="F167" s="151" t="s">
        <v>4</v>
      </c>
      <c r="G167" s="6" t="s">
        <v>77</v>
      </c>
      <c r="H167" s="181" t="s">
        <v>738</v>
      </c>
      <c r="I167" s="6"/>
      <c r="J167" s="6"/>
      <c r="K167" s="5" t="s">
        <v>1449</v>
      </c>
      <c r="L167" s="12" t="s">
        <v>10</v>
      </c>
      <c r="M167" s="56" t="s">
        <v>7</v>
      </c>
      <c r="N167" s="174">
        <v>1800</v>
      </c>
      <c r="O167" s="174">
        <v>2280</v>
      </c>
      <c r="P167" s="35">
        <f t="shared" si="3"/>
        <v>4.1040000000000001</v>
      </c>
      <c r="Q167" s="24"/>
      <c r="R167" s="12"/>
      <c r="S167" s="12">
        <v>7.6</v>
      </c>
      <c r="T167" s="24">
        <v>2.6</v>
      </c>
      <c r="U167" s="35">
        <f t="shared" si="4"/>
        <v>13.055999999999999</v>
      </c>
      <c r="V167" s="12"/>
      <c r="W167" s="12"/>
      <c r="X167" s="12">
        <v>2.6</v>
      </c>
      <c r="Y167" s="12"/>
    </row>
    <row r="168" spans="1:25" ht="30" customHeight="1" x14ac:dyDescent="0.25">
      <c r="A168" s="151" t="s">
        <v>230</v>
      </c>
      <c r="B168" s="151" t="s">
        <v>5</v>
      </c>
      <c r="C168" s="151" t="s">
        <v>1171</v>
      </c>
      <c r="D168" s="151" t="s">
        <v>3</v>
      </c>
      <c r="E168" s="170">
        <v>4.2</v>
      </c>
      <c r="F168" s="151" t="s">
        <v>4</v>
      </c>
      <c r="G168" s="6" t="s">
        <v>77</v>
      </c>
      <c r="H168" s="181" t="s">
        <v>738</v>
      </c>
      <c r="I168" s="6"/>
      <c r="J168" s="6"/>
      <c r="K168" s="5" t="s">
        <v>1449</v>
      </c>
      <c r="L168" s="12" t="s">
        <v>6</v>
      </c>
      <c r="M168" s="56" t="s">
        <v>7</v>
      </c>
      <c r="N168" s="174">
        <v>3300</v>
      </c>
      <c r="O168" s="174">
        <v>2100</v>
      </c>
      <c r="P168" s="35">
        <f t="shared" si="3"/>
        <v>6.93</v>
      </c>
      <c r="Q168" s="24"/>
      <c r="R168" s="12"/>
      <c r="S168" s="12">
        <v>8.6199999999999992</v>
      </c>
      <c r="T168" s="24">
        <v>2.6</v>
      </c>
      <c r="U168" s="35">
        <f t="shared" si="4"/>
        <v>9.282</v>
      </c>
      <c r="V168" s="12"/>
      <c r="W168" s="12"/>
      <c r="X168" s="12">
        <v>6.2</v>
      </c>
      <c r="Y168" s="12"/>
    </row>
    <row r="169" spans="1:25" ht="30" customHeight="1" x14ac:dyDescent="0.25">
      <c r="A169" s="151" t="s">
        <v>230</v>
      </c>
      <c r="B169" s="151" t="s">
        <v>5</v>
      </c>
      <c r="C169" s="151" t="s">
        <v>1172</v>
      </c>
      <c r="D169" s="151" t="s">
        <v>65</v>
      </c>
      <c r="E169" s="170">
        <v>1.3</v>
      </c>
      <c r="F169" s="151" t="s">
        <v>4</v>
      </c>
      <c r="G169" s="6" t="s">
        <v>77</v>
      </c>
      <c r="H169" s="181" t="s">
        <v>738</v>
      </c>
      <c r="I169" s="6"/>
      <c r="J169" s="6"/>
      <c r="K169" s="5" t="s">
        <v>1449</v>
      </c>
      <c r="L169" s="12" t="s">
        <v>6</v>
      </c>
      <c r="M169" s="56" t="s">
        <v>7</v>
      </c>
      <c r="N169" s="174">
        <v>750</v>
      </c>
      <c r="O169" s="174">
        <v>2100</v>
      </c>
      <c r="P169" s="35">
        <f t="shared" si="3"/>
        <v>1.575</v>
      </c>
      <c r="Q169" s="24"/>
      <c r="R169" s="12"/>
      <c r="S169" s="12">
        <v>4.29</v>
      </c>
      <c r="T169" s="24">
        <v>2.6</v>
      </c>
      <c r="U169" s="35">
        <f t="shared" si="4"/>
        <v>2.1450000000000005</v>
      </c>
      <c r="V169" s="12"/>
      <c r="W169" s="12"/>
      <c r="X169" s="12">
        <f>(S169-N169/1000)*2.1</f>
        <v>7.4340000000000002</v>
      </c>
      <c r="Y169" s="12"/>
    </row>
    <row r="170" spans="1:25" ht="30" customHeight="1" x14ac:dyDescent="0.25">
      <c r="A170" s="151" t="s">
        <v>230</v>
      </c>
      <c r="B170" s="151" t="s">
        <v>5</v>
      </c>
      <c r="C170" s="151" t="s">
        <v>1173</v>
      </c>
      <c r="D170" s="151" t="s">
        <v>65</v>
      </c>
      <c r="E170" s="170">
        <v>1.3</v>
      </c>
      <c r="F170" s="151" t="s">
        <v>4</v>
      </c>
      <c r="G170" s="6" t="s">
        <v>77</v>
      </c>
      <c r="H170" s="181" t="s">
        <v>738</v>
      </c>
      <c r="I170" s="6"/>
      <c r="J170" s="6"/>
      <c r="K170" s="5" t="s">
        <v>1449</v>
      </c>
      <c r="L170" s="12" t="s">
        <v>6</v>
      </c>
      <c r="M170" s="56" t="s">
        <v>7</v>
      </c>
      <c r="N170" s="174">
        <v>750</v>
      </c>
      <c r="O170" s="174">
        <v>2100</v>
      </c>
      <c r="P170" s="35">
        <f t="shared" si="3"/>
        <v>1.575</v>
      </c>
      <c r="Q170" s="24"/>
      <c r="R170" s="12"/>
      <c r="S170" s="12">
        <v>4.32</v>
      </c>
      <c r="T170" s="24">
        <v>2.6</v>
      </c>
      <c r="U170" s="35">
        <f t="shared" si="4"/>
        <v>2.160000000000001</v>
      </c>
      <c r="V170" s="12"/>
      <c r="W170" s="12"/>
      <c r="X170" s="12">
        <f>(S170-N170/1000)*2.1</f>
        <v>7.4970000000000008</v>
      </c>
      <c r="Y170" s="12"/>
    </row>
    <row r="171" spans="1:25" ht="30" customHeight="1" x14ac:dyDescent="0.25">
      <c r="A171" s="151" t="s">
        <v>230</v>
      </c>
      <c r="B171" s="151" t="s">
        <v>5</v>
      </c>
      <c r="C171" s="151" t="s">
        <v>1172</v>
      </c>
      <c r="D171" s="1" t="s">
        <v>212</v>
      </c>
      <c r="E171" s="170">
        <v>8.9</v>
      </c>
      <c r="F171" s="151" t="s">
        <v>4</v>
      </c>
      <c r="G171" s="6" t="s">
        <v>77</v>
      </c>
      <c r="H171" s="181" t="s">
        <v>738</v>
      </c>
      <c r="I171" s="6"/>
      <c r="J171" s="6"/>
      <c r="K171" s="5" t="s">
        <v>1449</v>
      </c>
      <c r="L171" s="12" t="s">
        <v>10</v>
      </c>
      <c r="M171" s="56" t="s">
        <v>7</v>
      </c>
      <c r="N171" s="174">
        <v>1650</v>
      </c>
      <c r="O171" s="174">
        <v>2280</v>
      </c>
      <c r="P171" s="35">
        <f t="shared" si="3"/>
        <v>3.762</v>
      </c>
      <c r="Q171" s="24">
        <v>1.9</v>
      </c>
      <c r="R171" s="12"/>
      <c r="S171" s="12">
        <v>14.37</v>
      </c>
      <c r="T171" s="24">
        <v>2.6</v>
      </c>
      <c r="U171" s="35">
        <f t="shared" si="4"/>
        <v>31.700000000000003</v>
      </c>
      <c r="V171" s="12"/>
      <c r="W171" s="12"/>
      <c r="X171" s="12"/>
      <c r="Y171" s="12"/>
    </row>
    <row r="172" spans="1:25" ht="30" customHeight="1" x14ac:dyDescent="0.25">
      <c r="A172" s="151" t="s">
        <v>230</v>
      </c>
      <c r="B172" s="151" t="s">
        <v>5</v>
      </c>
      <c r="C172" s="151" t="s">
        <v>1173</v>
      </c>
      <c r="D172" s="151" t="s">
        <v>101</v>
      </c>
      <c r="E172" s="170">
        <v>2.2000000000000002</v>
      </c>
      <c r="F172" s="151" t="s">
        <v>4</v>
      </c>
      <c r="G172" s="6" t="s">
        <v>77</v>
      </c>
      <c r="H172" s="181" t="s">
        <v>738</v>
      </c>
      <c r="I172" s="6"/>
      <c r="J172" s="6"/>
      <c r="K172" s="5" t="s">
        <v>1449</v>
      </c>
      <c r="L172" s="12" t="s">
        <v>81</v>
      </c>
      <c r="M172" s="56" t="s">
        <v>7</v>
      </c>
      <c r="N172" s="174">
        <v>750</v>
      </c>
      <c r="O172" s="174">
        <v>2100</v>
      </c>
      <c r="P172" s="35">
        <f t="shared" si="3"/>
        <v>1.575</v>
      </c>
      <c r="Q172" s="24"/>
      <c r="R172" s="12"/>
      <c r="S172" s="12">
        <v>5.92</v>
      </c>
      <c r="T172" s="24">
        <v>2.6</v>
      </c>
      <c r="U172" s="12"/>
      <c r="V172" s="12"/>
      <c r="W172" s="12"/>
      <c r="X172" s="152">
        <f>S172*T172-P172-Q172-Y172</f>
        <v>13.817</v>
      </c>
      <c r="Y172" s="12"/>
    </row>
    <row r="173" spans="1:25" ht="30" customHeight="1" x14ac:dyDescent="0.25">
      <c r="A173" s="151" t="s">
        <v>230</v>
      </c>
      <c r="B173" s="151" t="s">
        <v>5</v>
      </c>
      <c r="C173" s="151" t="s">
        <v>1174</v>
      </c>
      <c r="D173" s="151" t="s">
        <v>100</v>
      </c>
      <c r="E173" s="170">
        <v>12.8</v>
      </c>
      <c r="F173" s="151" t="s">
        <v>4</v>
      </c>
      <c r="G173" s="6" t="s">
        <v>77</v>
      </c>
      <c r="H173" s="181" t="s">
        <v>738</v>
      </c>
      <c r="I173" s="6"/>
      <c r="J173" s="6"/>
      <c r="K173" s="5" t="s">
        <v>1449</v>
      </c>
      <c r="L173" s="12" t="s">
        <v>10</v>
      </c>
      <c r="M173" s="56" t="s">
        <v>7</v>
      </c>
      <c r="N173" s="174">
        <v>1650</v>
      </c>
      <c r="O173" s="174">
        <v>2100</v>
      </c>
      <c r="P173" s="35">
        <f t="shared" si="3"/>
        <v>3.4649999999999999</v>
      </c>
      <c r="Q173" s="24">
        <v>3.8</v>
      </c>
      <c r="R173" s="12"/>
      <c r="S173" s="12">
        <v>16.38</v>
      </c>
      <c r="T173" s="24">
        <v>2.7</v>
      </c>
      <c r="U173" s="35">
        <f>S173*T173-P173-Q173-X173-Y173</f>
        <v>36.960999999999999</v>
      </c>
      <c r="V173" s="12"/>
      <c r="W173" s="12"/>
      <c r="X173" s="12"/>
      <c r="Y173" s="12"/>
    </row>
    <row r="174" spans="1:25" ht="30" customHeight="1" x14ac:dyDescent="0.25">
      <c r="A174" s="151" t="s">
        <v>230</v>
      </c>
      <c r="B174" s="151" t="s">
        <v>5</v>
      </c>
      <c r="C174" s="239" t="s">
        <v>1175</v>
      </c>
      <c r="D174" s="151" t="s">
        <v>101</v>
      </c>
      <c r="E174" s="170">
        <v>3</v>
      </c>
      <c r="F174" s="151" t="s">
        <v>4</v>
      </c>
      <c r="G174" s="6" t="s">
        <v>77</v>
      </c>
      <c r="H174" s="181" t="s">
        <v>738</v>
      </c>
      <c r="I174" s="6"/>
      <c r="J174" s="6"/>
      <c r="K174" s="5" t="s">
        <v>1449</v>
      </c>
      <c r="L174" s="12" t="s">
        <v>81</v>
      </c>
      <c r="M174" s="56" t="s">
        <v>7</v>
      </c>
      <c r="N174" s="174">
        <v>750</v>
      </c>
      <c r="O174" s="174">
        <v>2100</v>
      </c>
      <c r="P174" s="35">
        <f t="shared" si="3"/>
        <v>1.575</v>
      </c>
      <c r="Q174" s="24"/>
      <c r="R174" s="12"/>
      <c r="S174" s="12">
        <v>7.11</v>
      </c>
      <c r="T174" s="24">
        <v>2.6</v>
      </c>
      <c r="U174" s="12"/>
      <c r="V174" s="12"/>
      <c r="W174" s="12"/>
      <c r="X174" s="152">
        <f>S174*T174-P174-Q174-Y174</f>
        <v>16.911000000000001</v>
      </c>
      <c r="Y174" s="12"/>
    </row>
    <row r="175" spans="1:25" ht="30" customHeight="1" x14ac:dyDescent="0.25">
      <c r="A175" s="151" t="s">
        <v>230</v>
      </c>
      <c r="B175" s="151" t="s">
        <v>5</v>
      </c>
      <c r="C175" s="151" t="s">
        <v>1176</v>
      </c>
      <c r="D175" s="151" t="s">
        <v>100</v>
      </c>
      <c r="E175" s="170">
        <v>12.5</v>
      </c>
      <c r="F175" s="151" t="s">
        <v>4</v>
      </c>
      <c r="G175" s="6" t="s">
        <v>77</v>
      </c>
      <c r="H175" s="181" t="s">
        <v>738</v>
      </c>
      <c r="I175" s="6"/>
      <c r="J175" s="6"/>
      <c r="K175" s="5" t="s">
        <v>1449</v>
      </c>
      <c r="L175" s="12" t="s">
        <v>10</v>
      </c>
      <c r="M175" s="56" t="s">
        <v>7</v>
      </c>
      <c r="N175" s="174">
        <v>1650</v>
      </c>
      <c r="O175" s="174">
        <v>2100</v>
      </c>
      <c r="P175" s="35">
        <f t="shared" si="3"/>
        <v>3.4649999999999999</v>
      </c>
      <c r="Q175" s="24">
        <v>3.8</v>
      </c>
      <c r="R175" s="12"/>
      <c r="S175" s="12">
        <v>16.309999999999999</v>
      </c>
      <c r="T175" s="24">
        <v>2.7</v>
      </c>
      <c r="U175" s="35">
        <f>S175*T175-P175-Q175-X175-Y175</f>
        <v>36.772000000000006</v>
      </c>
      <c r="V175" s="12"/>
      <c r="W175" s="12"/>
      <c r="X175" s="12"/>
      <c r="Y175" s="12"/>
    </row>
    <row r="176" spans="1:25" ht="30" customHeight="1" x14ac:dyDescent="0.25">
      <c r="A176" s="151" t="s">
        <v>230</v>
      </c>
      <c r="B176" s="151" t="s">
        <v>5</v>
      </c>
      <c r="C176" s="239" t="s">
        <v>1177</v>
      </c>
      <c r="D176" s="151" t="s">
        <v>101</v>
      </c>
      <c r="E176" s="170">
        <v>2.7</v>
      </c>
      <c r="F176" s="151" t="s">
        <v>4</v>
      </c>
      <c r="G176" s="6" t="s">
        <v>77</v>
      </c>
      <c r="H176" s="181" t="s">
        <v>738</v>
      </c>
      <c r="I176" s="6"/>
      <c r="J176" s="6"/>
      <c r="K176" s="5" t="s">
        <v>1449</v>
      </c>
      <c r="L176" s="12" t="s">
        <v>81</v>
      </c>
      <c r="M176" s="56" t="s">
        <v>7</v>
      </c>
      <c r="N176" s="174">
        <v>750</v>
      </c>
      <c r="O176" s="174">
        <v>2100</v>
      </c>
      <c r="P176" s="35">
        <f t="shared" si="3"/>
        <v>1.575</v>
      </c>
      <c r="Q176" s="24"/>
      <c r="R176" s="12"/>
      <c r="S176" s="12">
        <v>7.04</v>
      </c>
      <c r="T176" s="24">
        <v>2.6</v>
      </c>
      <c r="U176" s="12"/>
      <c r="V176" s="12"/>
      <c r="W176" s="12"/>
      <c r="X176" s="152">
        <f>S176*T176-P176-Q176-Y176</f>
        <v>16.729000000000003</v>
      </c>
      <c r="Y176" s="12"/>
    </row>
    <row r="177" spans="1:25" ht="30" customHeight="1" x14ac:dyDescent="0.25">
      <c r="A177" s="151" t="s">
        <v>230</v>
      </c>
      <c r="B177" s="151" t="s">
        <v>5</v>
      </c>
      <c r="C177" s="151" t="s">
        <v>1178</v>
      </c>
      <c r="D177" s="151" t="s">
        <v>100</v>
      </c>
      <c r="E177" s="170">
        <v>9.3000000000000007</v>
      </c>
      <c r="F177" s="151" t="s">
        <v>4</v>
      </c>
      <c r="G177" s="6" t="s">
        <v>77</v>
      </c>
      <c r="H177" s="181" t="s">
        <v>738</v>
      </c>
      <c r="I177" s="6"/>
      <c r="J177" s="6"/>
      <c r="K177" s="5" t="s">
        <v>1449</v>
      </c>
      <c r="L177" s="12" t="s">
        <v>10</v>
      </c>
      <c r="M177" s="56" t="s">
        <v>7</v>
      </c>
      <c r="N177" s="174">
        <v>900</v>
      </c>
      <c r="O177" s="174">
        <v>2100</v>
      </c>
      <c r="P177" s="35">
        <f t="shared" si="3"/>
        <v>1.89</v>
      </c>
      <c r="Q177" s="24">
        <v>4.4000000000000004</v>
      </c>
      <c r="R177" s="12"/>
      <c r="S177" s="12">
        <v>14.04</v>
      </c>
      <c r="T177" s="24">
        <v>2.7</v>
      </c>
      <c r="U177" s="35">
        <f>S177*T177-P177-Q177-X177-Y177</f>
        <v>29.618000000000002</v>
      </c>
      <c r="V177" s="12"/>
      <c r="W177" s="12"/>
      <c r="X177" s="12">
        <v>2</v>
      </c>
      <c r="Y177" s="12"/>
    </row>
    <row r="178" spans="1:25" ht="30" customHeight="1" x14ac:dyDescent="0.25">
      <c r="A178" s="151" t="s">
        <v>230</v>
      </c>
      <c r="B178" s="151" t="s">
        <v>5</v>
      </c>
      <c r="C178" s="239" t="s">
        <v>1179</v>
      </c>
      <c r="D178" s="151" t="s">
        <v>65</v>
      </c>
      <c r="E178" s="170">
        <v>1.3</v>
      </c>
      <c r="F178" s="151" t="s">
        <v>4</v>
      </c>
      <c r="G178" s="6" t="s">
        <v>77</v>
      </c>
      <c r="H178" s="181" t="s">
        <v>738</v>
      </c>
      <c r="I178" s="6"/>
      <c r="J178" s="6"/>
      <c r="K178" s="5" t="s">
        <v>1449</v>
      </c>
      <c r="L178" s="12" t="s">
        <v>6</v>
      </c>
      <c r="M178" s="56" t="s">
        <v>7</v>
      </c>
      <c r="N178" s="174">
        <v>750</v>
      </c>
      <c r="O178" s="174">
        <v>2100</v>
      </c>
      <c r="P178" s="35">
        <f t="shared" si="3"/>
        <v>1.575</v>
      </c>
      <c r="Q178" s="24"/>
      <c r="R178" s="12"/>
      <c r="S178" s="12">
        <v>4.4000000000000004</v>
      </c>
      <c r="T178" s="24">
        <v>2.6</v>
      </c>
      <c r="U178" s="35">
        <f>S178*T178-P178-Q178-X178-Y178</f>
        <v>2.2000000000000011</v>
      </c>
      <c r="V178" s="12"/>
      <c r="W178" s="12"/>
      <c r="X178" s="12">
        <f>(S178-N178/1000)*2.1</f>
        <v>7.6650000000000009</v>
      </c>
      <c r="Y178" s="12"/>
    </row>
    <row r="179" spans="1:25" ht="30" customHeight="1" x14ac:dyDescent="0.25">
      <c r="A179" s="151" t="s">
        <v>230</v>
      </c>
      <c r="B179" s="151" t="s">
        <v>5</v>
      </c>
      <c r="C179" s="239" t="s">
        <v>1180</v>
      </c>
      <c r="D179" s="151" t="s">
        <v>220</v>
      </c>
      <c r="E179" s="170">
        <v>1</v>
      </c>
      <c r="F179" s="151" t="s">
        <v>4</v>
      </c>
      <c r="G179" s="6" t="s">
        <v>77</v>
      </c>
      <c r="H179" s="181" t="s">
        <v>738</v>
      </c>
      <c r="I179" s="6"/>
      <c r="J179" s="6"/>
      <c r="K179" s="5" t="s">
        <v>1449</v>
      </c>
      <c r="L179" s="12" t="s">
        <v>81</v>
      </c>
      <c r="M179" s="56"/>
      <c r="N179" s="174"/>
      <c r="O179" s="174"/>
      <c r="P179" s="35">
        <f t="shared" si="3"/>
        <v>0</v>
      </c>
      <c r="Q179" s="24"/>
      <c r="R179" s="12"/>
      <c r="S179" s="12">
        <v>0</v>
      </c>
      <c r="T179" s="24">
        <v>2.6</v>
      </c>
      <c r="U179" s="12"/>
      <c r="V179" s="12"/>
      <c r="W179" s="12"/>
      <c r="X179" s="12"/>
      <c r="Y179" s="12"/>
    </row>
    <row r="180" spans="1:25" ht="30" customHeight="1" x14ac:dyDescent="0.25">
      <c r="A180" s="151" t="s">
        <v>230</v>
      </c>
      <c r="B180" s="151" t="s">
        <v>5</v>
      </c>
      <c r="C180" s="239" t="s">
        <v>1181</v>
      </c>
      <c r="D180" s="151" t="s">
        <v>52</v>
      </c>
      <c r="E180" s="170">
        <v>3.4</v>
      </c>
      <c r="F180" s="151" t="s">
        <v>4</v>
      </c>
      <c r="G180" s="6" t="s">
        <v>77</v>
      </c>
      <c r="H180" s="181" t="s">
        <v>738</v>
      </c>
      <c r="I180" s="6"/>
      <c r="J180" s="6"/>
      <c r="K180" s="5" t="s">
        <v>1449</v>
      </c>
      <c r="L180" s="12" t="s">
        <v>81</v>
      </c>
      <c r="M180" s="56" t="s">
        <v>7</v>
      </c>
      <c r="N180" s="174">
        <v>1650</v>
      </c>
      <c r="O180" s="174">
        <v>2100</v>
      </c>
      <c r="P180" s="35">
        <f t="shared" si="3"/>
        <v>3.4649999999999999</v>
      </c>
      <c r="Q180" s="24">
        <v>2.2000000000000002</v>
      </c>
      <c r="R180" s="12"/>
      <c r="S180" s="12">
        <v>10.24</v>
      </c>
      <c r="T180" s="24">
        <v>2.6</v>
      </c>
      <c r="U180" s="12"/>
      <c r="V180" s="12"/>
      <c r="W180" s="12"/>
      <c r="X180" s="152">
        <f>S180*T180-P180-Q180-Y180</f>
        <v>20.959000000000003</v>
      </c>
      <c r="Y180" s="12"/>
    </row>
    <row r="181" spans="1:25" ht="30" customHeight="1" x14ac:dyDescent="0.25">
      <c r="A181" s="151" t="s">
        <v>230</v>
      </c>
      <c r="B181" s="151" t="s">
        <v>5</v>
      </c>
      <c r="C181" s="239" t="s">
        <v>1182</v>
      </c>
      <c r="D181" s="151" t="s">
        <v>46</v>
      </c>
      <c r="E181" s="170">
        <v>3.3</v>
      </c>
      <c r="F181" s="151" t="s">
        <v>4</v>
      </c>
      <c r="G181" s="6" t="s">
        <v>77</v>
      </c>
      <c r="H181" s="181" t="s">
        <v>738</v>
      </c>
      <c r="I181" s="6"/>
      <c r="J181" s="6"/>
      <c r="K181" s="5" t="s">
        <v>1449</v>
      </c>
      <c r="L181" s="12" t="s">
        <v>6</v>
      </c>
      <c r="M181" s="56" t="s">
        <v>7</v>
      </c>
      <c r="N181" s="174">
        <v>3000</v>
      </c>
      <c r="O181" s="174">
        <v>2100</v>
      </c>
      <c r="P181" s="35">
        <f t="shared" si="3"/>
        <v>6.3</v>
      </c>
      <c r="Q181" s="24">
        <v>2.2000000000000002</v>
      </c>
      <c r="R181" s="12"/>
      <c r="S181" s="12">
        <v>8.25</v>
      </c>
      <c r="T181" s="24">
        <v>2.6</v>
      </c>
      <c r="U181" s="35">
        <f>S181*T181-P181-Q181-X181-Y181</f>
        <v>1.9249999999999989</v>
      </c>
      <c r="V181" s="12"/>
      <c r="W181" s="12"/>
      <c r="X181" s="12">
        <f>(S181-N181/1000)*2.1</f>
        <v>11.025</v>
      </c>
      <c r="Y181" s="12"/>
    </row>
    <row r="182" spans="1:25" ht="30" customHeight="1" x14ac:dyDescent="0.25">
      <c r="A182" s="151" t="s">
        <v>230</v>
      </c>
      <c r="B182" s="151" t="s">
        <v>5</v>
      </c>
      <c r="C182" s="239" t="s">
        <v>1183</v>
      </c>
      <c r="D182" s="151" t="s">
        <v>220</v>
      </c>
      <c r="E182" s="170">
        <v>1.3</v>
      </c>
      <c r="F182" s="151" t="s">
        <v>4</v>
      </c>
      <c r="G182" s="6" t="s">
        <v>77</v>
      </c>
      <c r="H182" s="181" t="s">
        <v>738</v>
      </c>
      <c r="I182" s="6"/>
      <c r="J182" s="6"/>
      <c r="K182" s="5" t="s">
        <v>1449</v>
      </c>
      <c r="L182" s="12" t="s">
        <v>81</v>
      </c>
      <c r="M182" s="56" t="s">
        <v>7</v>
      </c>
      <c r="N182" s="174">
        <v>750</v>
      </c>
      <c r="O182" s="174">
        <v>2100</v>
      </c>
      <c r="P182" s="35">
        <f t="shared" si="3"/>
        <v>1.575</v>
      </c>
      <c r="Q182" s="24"/>
      <c r="R182" s="12"/>
      <c r="S182" s="12">
        <v>4.3899999999999997</v>
      </c>
      <c r="T182" s="24">
        <v>2.6</v>
      </c>
      <c r="U182" s="12"/>
      <c r="V182" s="12"/>
      <c r="W182" s="12"/>
      <c r="X182" s="152">
        <f>S182*T182-P182-Q182-Y182</f>
        <v>9.8390000000000004</v>
      </c>
      <c r="Y182" s="12"/>
    </row>
    <row r="183" spans="1:25" ht="30" customHeight="1" thickBot="1" x14ac:dyDescent="0.3">
      <c r="A183" s="242" t="s">
        <v>230</v>
      </c>
      <c r="B183" s="242" t="s">
        <v>5</v>
      </c>
      <c r="C183" s="243" t="s">
        <v>1184</v>
      </c>
      <c r="D183" s="242" t="s">
        <v>65</v>
      </c>
      <c r="E183" s="244">
        <v>1.4</v>
      </c>
      <c r="F183" s="242" t="s">
        <v>4</v>
      </c>
      <c r="G183" s="19" t="s">
        <v>77</v>
      </c>
      <c r="H183" s="181" t="s">
        <v>738</v>
      </c>
      <c r="I183" s="19"/>
      <c r="J183" s="19"/>
      <c r="K183" s="18" t="s">
        <v>1449</v>
      </c>
      <c r="L183" s="20" t="s">
        <v>6</v>
      </c>
      <c r="M183" s="56" t="s">
        <v>7</v>
      </c>
      <c r="N183" s="174">
        <v>1350</v>
      </c>
      <c r="O183" s="174">
        <v>2100</v>
      </c>
      <c r="P183" s="35">
        <f t="shared" si="3"/>
        <v>2.835</v>
      </c>
      <c r="Q183" s="24"/>
      <c r="R183" s="12"/>
      <c r="S183" s="12">
        <v>4.46</v>
      </c>
      <c r="T183" s="24">
        <v>2.6</v>
      </c>
      <c r="U183" s="35">
        <f>S183*T183-P183-Q183-X183-Y183</f>
        <v>2.2299999999999995</v>
      </c>
      <c r="V183" s="12"/>
      <c r="W183" s="12"/>
      <c r="X183" s="12">
        <f>(S183-N183/1000)*2.1</f>
        <v>6.5309999999999997</v>
      </c>
      <c r="Y183" s="12"/>
    </row>
    <row r="184" spans="1:25" ht="30" customHeight="1" thickTop="1" x14ac:dyDescent="0.25">
      <c r="A184" s="225" t="s">
        <v>748</v>
      </c>
      <c r="B184" s="225" t="s">
        <v>361</v>
      </c>
      <c r="C184" s="225" t="s">
        <v>1185</v>
      </c>
      <c r="D184" s="225" t="s">
        <v>3</v>
      </c>
      <c r="E184" s="228">
        <v>3.2</v>
      </c>
      <c r="F184" s="225" t="s">
        <v>4</v>
      </c>
      <c r="G184" s="21" t="s">
        <v>5</v>
      </c>
      <c r="H184" s="181" t="s">
        <v>738</v>
      </c>
      <c r="I184" s="22"/>
      <c r="J184" s="22"/>
      <c r="K184" s="21" t="s">
        <v>1449</v>
      </c>
      <c r="L184" s="24" t="s">
        <v>6</v>
      </c>
      <c r="M184" s="22" t="s">
        <v>7</v>
      </c>
      <c r="N184" s="154">
        <v>1750</v>
      </c>
      <c r="O184" s="22">
        <v>2125</v>
      </c>
      <c r="P184" s="49">
        <f t="shared" si="3"/>
        <v>3.71875</v>
      </c>
      <c r="Q184" s="24"/>
      <c r="R184" s="24"/>
      <c r="S184" s="24">
        <v>7.1</v>
      </c>
      <c r="T184" s="24">
        <v>2.7</v>
      </c>
      <c r="U184" s="155">
        <f>S184*T184-P184-X184</f>
        <v>4.2600000000000016</v>
      </c>
      <c r="V184" s="155"/>
      <c r="W184" s="155"/>
      <c r="X184" s="155">
        <f>S184*2.1-P184</f>
        <v>11.19125</v>
      </c>
      <c r="Y184" s="24"/>
    </row>
    <row r="185" spans="1:25" ht="30" customHeight="1" x14ac:dyDescent="0.25">
      <c r="A185" s="145" t="s">
        <v>748</v>
      </c>
      <c r="B185" s="145" t="s">
        <v>361</v>
      </c>
      <c r="C185" s="145" t="s">
        <v>1186</v>
      </c>
      <c r="D185" s="145" t="s">
        <v>101</v>
      </c>
      <c r="E185" s="168">
        <v>2.8</v>
      </c>
      <c r="F185" s="145" t="s">
        <v>4</v>
      </c>
      <c r="G185" s="5" t="s">
        <v>5</v>
      </c>
      <c r="H185" s="181" t="s">
        <v>738</v>
      </c>
      <c r="I185" s="6"/>
      <c r="J185" s="6"/>
      <c r="K185" s="5" t="s">
        <v>1449</v>
      </c>
      <c r="L185" s="12" t="s">
        <v>81</v>
      </c>
      <c r="M185" s="22" t="s">
        <v>7</v>
      </c>
      <c r="N185" s="150">
        <v>875</v>
      </c>
      <c r="O185" s="22">
        <v>2125</v>
      </c>
      <c r="P185" s="49">
        <f t="shared" si="3"/>
        <v>1.859375</v>
      </c>
      <c r="Q185" s="12"/>
      <c r="R185" s="12"/>
      <c r="S185" s="12">
        <v>6.8</v>
      </c>
      <c r="T185" s="12">
        <v>2.7</v>
      </c>
      <c r="U185" s="155"/>
      <c r="V185" s="152"/>
      <c r="W185" s="152"/>
      <c r="X185" s="152">
        <f>S185*T185-P185</f>
        <v>16.500624999999999</v>
      </c>
      <c r="Y185" s="12"/>
    </row>
    <row r="186" spans="1:25" ht="30" customHeight="1" x14ac:dyDescent="0.25">
      <c r="A186" s="145" t="s">
        <v>748</v>
      </c>
      <c r="B186" s="145" t="s">
        <v>361</v>
      </c>
      <c r="C186" s="145" t="s">
        <v>1187</v>
      </c>
      <c r="D186" s="145" t="s">
        <v>1188</v>
      </c>
      <c r="E186" s="168">
        <v>116.7</v>
      </c>
      <c r="F186" s="145" t="s">
        <v>4</v>
      </c>
      <c r="G186" s="5" t="s">
        <v>5</v>
      </c>
      <c r="H186" s="181" t="s">
        <v>738</v>
      </c>
      <c r="I186" s="6"/>
      <c r="J186" s="6"/>
      <c r="K186" s="5" t="s">
        <v>1449</v>
      </c>
      <c r="L186" s="12" t="s">
        <v>10</v>
      </c>
      <c r="M186" s="22" t="s">
        <v>7</v>
      </c>
      <c r="N186" s="150">
        <v>3250</v>
      </c>
      <c r="O186" s="22">
        <v>2125</v>
      </c>
      <c r="P186" s="49">
        <f t="shared" si="3"/>
        <v>6.90625</v>
      </c>
      <c r="Q186" s="12">
        <v>22.77</v>
      </c>
      <c r="R186" s="12"/>
      <c r="S186" s="12">
        <v>49.05</v>
      </c>
      <c r="T186" s="12">
        <v>3</v>
      </c>
      <c r="U186" s="152"/>
      <c r="V186" s="152">
        <f>S186*T186-P186-Q186-X186-Y186</f>
        <v>113.47374999999998</v>
      </c>
      <c r="W186" s="152"/>
      <c r="X186" s="152">
        <v>4</v>
      </c>
      <c r="Y186" s="12"/>
    </row>
    <row r="187" spans="1:25" ht="30" customHeight="1" x14ac:dyDescent="0.25">
      <c r="A187" s="145" t="s">
        <v>748</v>
      </c>
      <c r="B187" s="145" t="s">
        <v>361</v>
      </c>
      <c r="C187" s="145" t="s">
        <v>1189</v>
      </c>
      <c r="D187" s="145" t="s">
        <v>55</v>
      </c>
      <c r="E187" s="168">
        <v>81.400000000000006</v>
      </c>
      <c r="F187" s="145" t="s">
        <v>4</v>
      </c>
      <c r="G187" s="5" t="s">
        <v>5</v>
      </c>
      <c r="H187" s="181" t="s">
        <v>738</v>
      </c>
      <c r="I187" s="6"/>
      <c r="J187" s="6"/>
      <c r="K187" s="5" t="s">
        <v>1449</v>
      </c>
      <c r="L187" s="12" t="s">
        <v>6</v>
      </c>
      <c r="M187" s="22" t="s">
        <v>7</v>
      </c>
      <c r="N187" s="150">
        <v>17900</v>
      </c>
      <c r="O187" s="22">
        <v>2125</v>
      </c>
      <c r="P187" s="49">
        <f t="shared" si="3"/>
        <v>38.037500000000001</v>
      </c>
      <c r="Q187" s="12"/>
      <c r="R187" s="12"/>
      <c r="S187" s="12">
        <v>88.64</v>
      </c>
      <c r="T187" s="12">
        <v>2.7</v>
      </c>
      <c r="U187" s="49">
        <f>S187*T187-P187-Q187-X187-Y187</f>
        <v>201.29050000000004</v>
      </c>
      <c r="V187" s="152"/>
      <c r="W187" s="152"/>
      <c r="X187" s="152"/>
      <c r="Y187" s="12"/>
    </row>
    <row r="188" spans="1:25" ht="30" customHeight="1" x14ac:dyDescent="0.25">
      <c r="A188" s="145" t="s">
        <v>748</v>
      </c>
      <c r="B188" s="145" t="s">
        <v>361</v>
      </c>
      <c r="C188" s="145" t="s">
        <v>1190</v>
      </c>
      <c r="D188" s="145" t="s">
        <v>1191</v>
      </c>
      <c r="E188" s="168">
        <v>28.9</v>
      </c>
      <c r="F188" s="145" t="s">
        <v>4</v>
      </c>
      <c r="G188" s="5" t="s">
        <v>5</v>
      </c>
      <c r="H188" s="181" t="s">
        <v>738</v>
      </c>
      <c r="I188" s="6"/>
      <c r="J188" s="6"/>
      <c r="K188" s="5" t="s">
        <v>1449</v>
      </c>
      <c r="L188" s="12" t="s">
        <v>10</v>
      </c>
      <c r="M188" s="22" t="s">
        <v>7</v>
      </c>
      <c r="N188" s="150">
        <v>2250</v>
      </c>
      <c r="O188" s="22">
        <v>2125</v>
      </c>
      <c r="P188" s="49">
        <f t="shared" si="3"/>
        <v>4.78125</v>
      </c>
      <c r="Q188" s="12">
        <v>5.17</v>
      </c>
      <c r="R188" s="12">
        <v>1.1599999999999999</v>
      </c>
      <c r="S188" s="12">
        <v>25.76</v>
      </c>
      <c r="T188" s="12">
        <v>3</v>
      </c>
      <c r="U188" s="49">
        <f>S188*T188-P188-Q188-X188-Y188</f>
        <v>65.328749999999999</v>
      </c>
      <c r="V188" s="152"/>
      <c r="W188" s="152"/>
      <c r="X188" s="152">
        <v>2</v>
      </c>
      <c r="Y188" s="12"/>
    </row>
    <row r="189" spans="1:25" ht="30" customHeight="1" x14ac:dyDescent="0.25">
      <c r="A189" s="145" t="s">
        <v>748</v>
      </c>
      <c r="B189" s="145" t="s">
        <v>361</v>
      </c>
      <c r="C189" s="145" t="s">
        <v>1192</v>
      </c>
      <c r="D189" s="145" t="s">
        <v>1028</v>
      </c>
      <c r="E189" s="168">
        <v>5.2</v>
      </c>
      <c r="F189" s="145" t="s">
        <v>4</v>
      </c>
      <c r="G189" s="5" t="s">
        <v>5</v>
      </c>
      <c r="H189" s="181" t="s">
        <v>738</v>
      </c>
      <c r="I189" s="6"/>
      <c r="J189" s="6"/>
      <c r="K189" s="5" t="s">
        <v>1449</v>
      </c>
      <c r="L189" s="12" t="s">
        <v>81</v>
      </c>
      <c r="M189" s="22" t="s">
        <v>7</v>
      </c>
      <c r="N189" s="150">
        <v>1125</v>
      </c>
      <c r="O189" s="22">
        <v>2125</v>
      </c>
      <c r="P189" s="49">
        <f t="shared" si="3"/>
        <v>2.390625</v>
      </c>
      <c r="Q189" s="12"/>
      <c r="R189" s="12"/>
      <c r="S189" s="12">
        <v>9.34</v>
      </c>
      <c r="T189" s="12">
        <v>2.7</v>
      </c>
      <c r="U189" s="155"/>
      <c r="V189" s="152"/>
      <c r="W189" s="152"/>
      <c r="X189" s="152">
        <f>S189*T189-P189-Q189-Y189</f>
        <v>22.827375</v>
      </c>
      <c r="Y189" s="12"/>
    </row>
    <row r="190" spans="1:25" ht="30" customHeight="1" x14ac:dyDescent="0.25">
      <c r="A190" s="145" t="s">
        <v>748</v>
      </c>
      <c r="B190" s="145" t="s">
        <v>361</v>
      </c>
      <c r="C190" s="145" t="s">
        <v>1193</v>
      </c>
      <c r="D190" s="145" t="s">
        <v>1191</v>
      </c>
      <c r="E190" s="168">
        <v>27.8</v>
      </c>
      <c r="F190" s="145" t="s">
        <v>4</v>
      </c>
      <c r="G190" s="5" t="s">
        <v>5</v>
      </c>
      <c r="H190" s="181" t="s">
        <v>738</v>
      </c>
      <c r="I190" s="6"/>
      <c r="J190" s="6"/>
      <c r="K190" s="5" t="s">
        <v>1449</v>
      </c>
      <c r="L190" s="12" t="s">
        <v>10</v>
      </c>
      <c r="M190" s="22" t="s">
        <v>7</v>
      </c>
      <c r="N190" s="150">
        <v>2250</v>
      </c>
      <c r="O190" s="22">
        <v>2125</v>
      </c>
      <c r="P190" s="49">
        <f t="shared" si="3"/>
        <v>4.78125</v>
      </c>
      <c r="Q190" s="12">
        <v>5.17</v>
      </c>
      <c r="R190" s="12">
        <v>1.1599999999999999</v>
      </c>
      <c r="S190" s="12">
        <v>25.45</v>
      </c>
      <c r="T190" s="12">
        <v>3</v>
      </c>
      <c r="U190" s="35">
        <f>S190*T190-P190-Q190-X190-Y190</f>
        <v>64.398749999999993</v>
      </c>
      <c r="V190" s="152"/>
      <c r="W190" s="152"/>
      <c r="X190" s="152">
        <v>2</v>
      </c>
      <c r="Y190" s="12"/>
    </row>
    <row r="191" spans="1:25" ht="30" customHeight="1" x14ac:dyDescent="0.25">
      <c r="A191" s="145" t="s">
        <v>748</v>
      </c>
      <c r="B191" s="145" t="s">
        <v>361</v>
      </c>
      <c r="C191" s="145" t="s">
        <v>1194</v>
      </c>
      <c r="D191" s="145" t="s">
        <v>1028</v>
      </c>
      <c r="E191" s="168">
        <v>5.4</v>
      </c>
      <c r="F191" s="145" t="s">
        <v>4</v>
      </c>
      <c r="G191" s="5" t="s">
        <v>5</v>
      </c>
      <c r="H191" s="181" t="s">
        <v>738</v>
      </c>
      <c r="I191" s="6"/>
      <c r="J191" s="6"/>
      <c r="K191" s="5" t="s">
        <v>1449</v>
      </c>
      <c r="L191" s="12" t="s">
        <v>81</v>
      </c>
      <c r="M191" s="22" t="s">
        <v>7</v>
      </c>
      <c r="N191" s="150">
        <v>1125</v>
      </c>
      <c r="O191" s="22">
        <v>2125</v>
      </c>
      <c r="P191" s="49">
        <f t="shared" si="3"/>
        <v>2.390625</v>
      </c>
      <c r="Q191" s="12"/>
      <c r="R191" s="12"/>
      <c r="S191" s="12">
        <v>9.34</v>
      </c>
      <c r="T191" s="12">
        <v>2.7</v>
      </c>
      <c r="U191" s="152"/>
      <c r="V191" s="152"/>
      <c r="W191" s="152"/>
      <c r="X191" s="152">
        <f>S191*T191-P191-Q191-Y191</f>
        <v>22.827375</v>
      </c>
      <c r="Y191" s="12"/>
    </row>
    <row r="192" spans="1:25" ht="30" customHeight="1" x14ac:dyDescent="0.25">
      <c r="A192" s="145" t="s">
        <v>748</v>
      </c>
      <c r="B192" s="145" t="s">
        <v>361</v>
      </c>
      <c r="C192" s="145" t="s">
        <v>1195</v>
      </c>
      <c r="D192" s="145" t="s">
        <v>1191</v>
      </c>
      <c r="E192" s="168">
        <v>26.9</v>
      </c>
      <c r="F192" s="145" t="s">
        <v>4</v>
      </c>
      <c r="G192" s="5" t="s">
        <v>5</v>
      </c>
      <c r="H192" s="181" t="s">
        <v>738</v>
      </c>
      <c r="I192" s="6"/>
      <c r="J192" s="6"/>
      <c r="K192" s="5" t="s">
        <v>1449</v>
      </c>
      <c r="L192" s="12" t="s">
        <v>10</v>
      </c>
      <c r="M192" s="22" t="s">
        <v>7</v>
      </c>
      <c r="N192" s="150">
        <v>2250</v>
      </c>
      <c r="O192" s="22">
        <v>2125</v>
      </c>
      <c r="P192" s="49">
        <f t="shared" si="3"/>
        <v>4.78125</v>
      </c>
      <c r="Q192" s="12">
        <v>3.45</v>
      </c>
      <c r="R192" s="12">
        <v>1.1599999999999999</v>
      </c>
      <c r="S192" s="12">
        <v>25.2</v>
      </c>
      <c r="T192" s="12">
        <v>3</v>
      </c>
      <c r="U192" s="35">
        <f>S192*T192-P192-Q192-X192-Y192</f>
        <v>65.368749999999991</v>
      </c>
      <c r="V192" s="152"/>
      <c r="W192" s="152"/>
      <c r="X192" s="152">
        <v>2</v>
      </c>
      <c r="Y192" s="12"/>
    </row>
    <row r="193" spans="1:25" ht="30" customHeight="1" x14ac:dyDescent="0.25">
      <c r="A193" s="145" t="s">
        <v>748</v>
      </c>
      <c r="B193" s="145" t="s">
        <v>361</v>
      </c>
      <c r="C193" s="145" t="s">
        <v>1196</v>
      </c>
      <c r="D193" s="145" t="s">
        <v>1028</v>
      </c>
      <c r="E193" s="168">
        <v>4.8</v>
      </c>
      <c r="F193" s="145" t="s">
        <v>4</v>
      </c>
      <c r="G193" s="5" t="s">
        <v>5</v>
      </c>
      <c r="H193" s="181" t="s">
        <v>738</v>
      </c>
      <c r="I193" s="6"/>
      <c r="J193" s="6"/>
      <c r="K193" s="5" t="s">
        <v>1449</v>
      </c>
      <c r="L193" s="12" t="s">
        <v>81</v>
      </c>
      <c r="M193" s="22" t="s">
        <v>7</v>
      </c>
      <c r="N193" s="150">
        <v>1125</v>
      </c>
      <c r="O193" s="22">
        <v>2125</v>
      </c>
      <c r="P193" s="49">
        <f t="shared" si="3"/>
        <v>2.390625</v>
      </c>
      <c r="Q193" s="12"/>
      <c r="R193" s="12"/>
      <c r="S193" s="12">
        <v>9</v>
      </c>
      <c r="T193" s="12">
        <v>2.7</v>
      </c>
      <c r="U193" s="155"/>
      <c r="V193" s="152"/>
      <c r="W193" s="152"/>
      <c r="X193" s="152">
        <f>S193*T193-P193-Q193-Y193</f>
        <v>21.909375000000001</v>
      </c>
      <c r="Y193" s="12"/>
    </row>
    <row r="194" spans="1:25" ht="30" customHeight="1" x14ac:dyDescent="0.25">
      <c r="A194" s="145" t="s">
        <v>748</v>
      </c>
      <c r="B194" s="145" t="s">
        <v>361</v>
      </c>
      <c r="C194" s="145" t="s">
        <v>1197</v>
      </c>
      <c r="D194" s="145" t="s">
        <v>32</v>
      </c>
      <c r="E194" s="168">
        <v>7.5</v>
      </c>
      <c r="F194" s="145" t="s">
        <v>4</v>
      </c>
      <c r="G194" s="5" t="s">
        <v>5</v>
      </c>
      <c r="H194" s="181" t="s">
        <v>738</v>
      </c>
      <c r="I194" s="6"/>
      <c r="J194" s="6"/>
      <c r="K194" s="5" t="s">
        <v>1449</v>
      </c>
      <c r="L194" s="12" t="s">
        <v>6</v>
      </c>
      <c r="M194" s="22" t="s">
        <v>370</v>
      </c>
      <c r="N194" s="150">
        <v>0</v>
      </c>
      <c r="O194" s="22">
        <v>0</v>
      </c>
      <c r="P194" s="49">
        <f t="shared" si="3"/>
        <v>0</v>
      </c>
      <c r="Q194" s="12"/>
      <c r="R194" s="12"/>
      <c r="S194" s="12">
        <v>0</v>
      </c>
      <c r="T194" s="12">
        <v>2.7</v>
      </c>
      <c r="U194" s="155"/>
      <c r="V194" s="152"/>
      <c r="W194" s="152"/>
      <c r="X194" s="152"/>
      <c r="Y194" s="12"/>
    </row>
    <row r="195" spans="1:25" ht="30" customHeight="1" x14ac:dyDescent="0.25">
      <c r="A195" s="145" t="s">
        <v>748</v>
      </c>
      <c r="B195" s="145" t="s">
        <v>361</v>
      </c>
      <c r="C195" s="145" t="s">
        <v>1198</v>
      </c>
      <c r="D195" s="145" t="s">
        <v>371</v>
      </c>
      <c r="E195" s="168">
        <v>8.5</v>
      </c>
      <c r="F195" s="145" t="s">
        <v>4</v>
      </c>
      <c r="G195" s="5" t="s">
        <v>5</v>
      </c>
      <c r="H195" s="181" t="s">
        <v>738</v>
      </c>
      <c r="I195" s="6"/>
      <c r="J195" s="6"/>
      <c r="K195" s="5" t="s">
        <v>1449</v>
      </c>
      <c r="L195" s="12" t="s">
        <v>10</v>
      </c>
      <c r="M195" s="22" t="s">
        <v>7</v>
      </c>
      <c r="N195" s="150">
        <v>875</v>
      </c>
      <c r="O195" s="22">
        <v>2125</v>
      </c>
      <c r="P195" s="49">
        <f t="shared" si="3"/>
        <v>1.859375</v>
      </c>
      <c r="Q195" s="12"/>
      <c r="R195" s="12"/>
      <c r="S195" s="12">
        <v>12.3</v>
      </c>
      <c r="T195" s="12">
        <v>3</v>
      </c>
      <c r="U195" s="35">
        <f>S195*T195-P195-Q195-X195-Y195</f>
        <v>32.080625000000005</v>
      </c>
      <c r="V195" s="152"/>
      <c r="W195" s="152"/>
      <c r="X195" s="152">
        <v>2.96</v>
      </c>
      <c r="Y195" s="12"/>
    </row>
    <row r="196" spans="1:25" ht="30" customHeight="1" x14ac:dyDescent="0.25">
      <c r="A196" s="145" t="s">
        <v>748</v>
      </c>
      <c r="B196" s="145" t="s">
        <v>361</v>
      </c>
      <c r="C196" s="145" t="s">
        <v>1199</v>
      </c>
      <c r="D196" s="145" t="s">
        <v>151</v>
      </c>
      <c r="E196" s="168">
        <v>6</v>
      </c>
      <c r="F196" s="145" t="s">
        <v>4</v>
      </c>
      <c r="G196" s="5" t="s">
        <v>5</v>
      </c>
      <c r="H196" s="181" t="s">
        <v>738</v>
      </c>
      <c r="I196" s="6"/>
      <c r="J196" s="6"/>
      <c r="K196" s="5" t="s">
        <v>1449</v>
      </c>
      <c r="L196" s="12" t="s">
        <v>6</v>
      </c>
      <c r="M196" s="22" t="s">
        <v>7</v>
      </c>
      <c r="N196" s="150">
        <v>875</v>
      </c>
      <c r="O196" s="22">
        <v>2125</v>
      </c>
      <c r="P196" s="49">
        <f t="shared" si="3"/>
        <v>1.859375</v>
      </c>
      <c r="Q196" s="12"/>
      <c r="R196" s="12"/>
      <c r="S196" s="12">
        <v>10.210000000000001</v>
      </c>
      <c r="T196" s="12">
        <v>2.6</v>
      </c>
      <c r="U196" s="155">
        <f>S196*T196-P196-X196</f>
        <v>5.1050000000000004</v>
      </c>
      <c r="V196" s="152"/>
      <c r="W196" s="152"/>
      <c r="X196" s="152">
        <f>S196*2.1-P196</f>
        <v>19.581625000000003</v>
      </c>
      <c r="Y196" s="12"/>
    </row>
    <row r="197" spans="1:25" ht="30" customHeight="1" x14ac:dyDescent="0.25">
      <c r="A197" s="145" t="s">
        <v>748</v>
      </c>
      <c r="B197" s="145" t="s">
        <v>361</v>
      </c>
      <c r="C197" s="145" t="s">
        <v>1200</v>
      </c>
      <c r="D197" s="145" t="s">
        <v>224</v>
      </c>
      <c r="E197" s="168">
        <v>2.9</v>
      </c>
      <c r="F197" s="145" t="s">
        <v>4</v>
      </c>
      <c r="G197" s="5" t="s">
        <v>5</v>
      </c>
      <c r="H197" s="181" t="s">
        <v>738</v>
      </c>
      <c r="I197" s="6"/>
      <c r="J197" s="6"/>
      <c r="K197" s="5" t="s">
        <v>1449</v>
      </c>
      <c r="L197" s="12" t="s">
        <v>6</v>
      </c>
      <c r="M197" s="22" t="s">
        <v>7</v>
      </c>
      <c r="N197" s="150">
        <v>875</v>
      </c>
      <c r="O197" s="22">
        <v>2125</v>
      </c>
      <c r="P197" s="49">
        <f t="shared" ref="P197:P208" si="5">N197*O197*0.000001</f>
        <v>1.859375</v>
      </c>
      <c r="Q197" s="12"/>
      <c r="R197" s="12"/>
      <c r="S197" s="12">
        <v>6.91</v>
      </c>
      <c r="T197" s="12">
        <v>2.6</v>
      </c>
      <c r="U197" s="152"/>
      <c r="V197" s="152"/>
      <c r="W197" s="152"/>
      <c r="X197" s="152">
        <f>S197*T197-P197</f>
        <v>16.106625000000001</v>
      </c>
      <c r="Y197" s="12"/>
    </row>
    <row r="198" spans="1:25" ht="30" customHeight="1" x14ac:dyDescent="0.25">
      <c r="A198" s="145" t="s">
        <v>748</v>
      </c>
      <c r="B198" s="145" t="s">
        <v>361</v>
      </c>
      <c r="C198" s="145" t="s">
        <v>1201</v>
      </c>
      <c r="D198" s="145" t="s">
        <v>3</v>
      </c>
      <c r="E198" s="168">
        <v>2.5</v>
      </c>
      <c r="F198" s="145" t="s">
        <v>4</v>
      </c>
      <c r="G198" s="5" t="s">
        <v>5</v>
      </c>
      <c r="H198" s="181" t="s">
        <v>738</v>
      </c>
      <c r="I198" s="6"/>
      <c r="J198" s="6"/>
      <c r="K198" s="5" t="s">
        <v>1449</v>
      </c>
      <c r="L198" s="12" t="s">
        <v>6</v>
      </c>
      <c r="M198" s="22" t="s">
        <v>7</v>
      </c>
      <c r="N198" s="150">
        <v>2625</v>
      </c>
      <c r="O198" s="22">
        <v>2125</v>
      </c>
      <c r="P198" s="49">
        <f t="shared" si="5"/>
        <v>5.578125</v>
      </c>
      <c r="Q198" s="12"/>
      <c r="R198" s="12"/>
      <c r="S198" s="12">
        <v>6.51</v>
      </c>
      <c r="T198" s="12">
        <v>2.6</v>
      </c>
      <c r="U198" s="155">
        <f>S198*T198-P198-X198</f>
        <v>3.254999999999999</v>
      </c>
      <c r="V198" s="152"/>
      <c r="W198" s="152"/>
      <c r="X198" s="152">
        <f>S198*2.1-P198</f>
        <v>8.0928749999999994</v>
      </c>
      <c r="Y198" s="12"/>
    </row>
    <row r="199" spans="1:25" ht="30" customHeight="1" x14ac:dyDescent="0.25">
      <c r="A199" s="145" t="s">
        <v>748</v>
      </c>
      <c r="B199" s="145" t="s">
        <v>361</v>
      </c>
      <c r="C199" s="145" t="s">
        <v>1202</v>
      </c>
      <c r="D199" s="145" t="s">
        <v>223</v>
      </c>
      <c r="E199" s="168">
        <v>4</v>
      </c>
      <c r="F199" s="145" t="s">
        <v>4</v>
      </c>
      <c r="G199" s="5" t="s">
        <v>5</v>
      </c>
      <c r="H199" s="181" t="s">
        <v>738</v>
      </c>
      <c r="I199" s="6"/>
      <c r="J199" s="6"/>
      <c r="K199" s="5" t="s">
        <v>1449</v>
      </c>
      <c r="L199" s="12" t="s">
        <v>6</v>
      </c>
      <c r="M199" s="22" t="s">
        <v>7</v>
      </c>
      <c r="N199" s="150">
        <v>875</v>
      </c>
      <c r="O199" s="22">
        <v>2125</v>
      </c>
      <c r="P199" s="49">
        <f t="shared" si="5"/>
        <v>1.859375</v>
      </c>
      <c r="Q199" s="12"/>
      <c r="R199" s="12"/>
      <c r="S199" s="12">
        <v>7.96</v>
      </c>
      <c r="T199" s="12">
        <v>2.6</v>
      </c>
      <c r="U199" s="152">
        <f>S199*T199-P199-X199</f>
        <v>3.9800000000000004</v>
      </c>
      <c r="V199" s="152"/>
      <c r="W199" s="152"/>
      <c r="X199" s="152">
        <f>S199*2.1-P199</f>
        <v>14.856625000000001</v>
      </c>
      <c r="Y199" s="12"/>
    </row>
    <row r="200" spans="1:25" ht="30" customHeight="1" x14ac:dyDescent="0.25">
      <c r="A200" s="145" t="s">
        <v>748</v>
      </c>
      <c r="B200" s="145" t="s">
        <v>361</v>
      </c>
      <c r="C200" s="145" t="s">
        <v>1203</v>
      </c>
      <c r="D200" s="145" t="s">
        <v>3</v>
      </c>
      <c r="E200" s="168">
        <v>1.9</v>
      </c>
      <c r="F200" s="145" t="s">
        <v>4</v>
      </c>
      <c r="G200" s="5" t="s">
        <v>5</v>
      </c>
      <c r="H200" s="181" t="s">
        <v>738</v>
      </c>
      <c r="I200" s="6"/>
      <c r="J200" s="6"/>
      <c r="K200" s="5" t="s">
        <v>1449</v>
      </c>
      <c r="L200" s="12" t="s">
        <v>6</v>
      </c>
      <c r="M200" s="22" t="s">
        <v>7</v>
      </c>
      <c r="N200" s="150">
        <v>2500</v>
      </c>
      <c r="O200" s="22">
        <v>2125</v>
      </c>
      <c r="P200" s="49">
        <f t="shared" si="5"/>
        <v>5.3125</v>
      </c>
      <c r="Q200" s="12"/>
      <c r="R200" s="12"/>
      <c r="S200" s="12">
        <v>5.6</v>
      </c>
      <c r="T200" s="12">
        <v>2.6</v>
      </c>
      <c r="U200" s="152"/>
      <c r="V200" s="152"/>
      <c r="W200" s="152"/>
      <c r="X200" s="152">
        <f>S200*T200-P200</f>
        <v>9.2474999999999987</v>
      </c>
      <c r="Y200" s="12"/>
    </row>
    <row r="201" spans="1:25" ht="30" customHeight="1" x14ac:dyDescent="0.25">
      <c r="A201" s="145" t="s">
        <v>748</v>
      </c>
      <c r="B201" s="145" t="s">
        <v>361</v>
      </c>
      <c r="C201" s="145" t="s">
        <v>1204</v>
      </c>
      <c r="D201" s="145" t="s">
        <v>436</v>
      </c>
      <c r="E201" s="168">
        <v>2.9</v>
      </c>
      <c r="F201" s="145" t="s">
        <v>4</v>
      </c>
      <c r="G201" s="5" t="s">
        <v>5</v>
      </c>
      <c r="H201" s="181" t="s">
        <v>738</v>
      </c>
      <c r="I201" s="6"/>
      <c r="J201" s="6"/>
      <c r="K201" s="5" t="s">
        <v>1449</v>
      </c>
      <c r="L201" s="12" t="s">
        <v>81</v>
      </c>
      <c r="M201" s="22" t="s">
        <v>7</v>
      </c>
      <c r="N201" s="150">
        <v>875</v>
      </c>
      <c r="O201" s="22">
        <v>2125</v>
      </c>
      <c r="P201" s="49">
        <f t="shared" si="5"/>
        <v>1.859375</v>
      </c>
      <c r="Q201" s="12"/>
      <c r="R201" s="12"/>
      <c r="S201" s="12">
        <v>6.95</v>
      </c>
      <c r="T201" s="12">
        <v>2.6</v>
      </c>
      <c r="U201" s="155"/>
      <c r="V201" s="152"/>
      <c r="W201" s="152"/>
      <c r="X201" s="152">
        <f>S201*T201-P201</f>
        <v>16.210625</v>
      </c>
      <c r="Y201" s="12"/>
    </row>
    <row r="202" spans="1:25" ht="30" customHeight="1" x14ac:dyDescent="0.25">
      <c r="A202" s="145" t="s">
        <v>748</v>
      </c>
      <c r="B202" s="145" t="s">
        <v>361</v>
      </c>
      <c r="C202" s="145" t="s">
        <v>1205</v>
      </c>
      <c r="D202" s="145" t="s">
        <v>153</v>
      </c>
      <c r="E202" s="168">
        <v>1.5</v>
      </c>
      <c r="F202" s="145" t="s">
        <v>4</v>
      </c>
      <c r="G202" s="5" t="s">
        <v>5</v>
      </c>
      <c r="H202" s="181" t="s">
        <v>738</v>
      </c>
      <c r="I202" s="6"/>
      <c r="J202" s="6"/>
      <c r="K202" s="5" t="s">
        <v>1449</v>
      </c>
      <c r="L202" s="12" t="s">
        <v>6</v>
      </c>
      <c r="M202" s="22" t="s">
        <v>7</v>
      </c>
      <c r="N202" s="150">
        <v>750</v>
      </c>
      <c r="O202" s="22">
        <v>2125</v>
      </c>
      <c r="P202" s="49">
        <f t="shared" si="5"/>
        <v>1.59375</v>
      </c>
      <c r="Q202" s="12"/>
      <c r="R202" s="12"/>
      <c r="S202" s="12">
        <v>4.8</v>
      </c>
      <c r="T202" s="12">
        <v>2.6</v>
      </c>
      <c r="U202" s="155"/>
      <c r="V202" s="152"/>
      <c r="W202" s="152"/>
      <c r="X202" s="152">
        <f>S202*T202-P202</f>
        <v>10.88625</v>
      </c>
      <c r="Y202" s="12"/>
    </row>
    <row r="203" spans="1:25" ht="30" customHeight="1" x14ac:dyDescent="0.25">
      <c r="A203" s="145" t="s">
        <v>748</v>
      </c>
      <c r="B203" s="145" t="s">
        <v>361</v>
      </c>
      <c r="C203" s="145" t="s">
        <v>1206</v>
      </c>
      <c r="D203" s="145" t="s">
        <v>100</v>
      </c>
      <c r="E203" s="168">
        <v>9.3000000000000007</v>
      </c>
      <c r="F203" s="145" t="s">
        <v>4</v>
      </c>
      <c r="G203" s="5" t="s">
        <v>77</v>
      </c>
      <c r="H203" s="181" t="s">
        <v>738</v>
      </c>
      <c r="I203" s="6"/>
      <c r="J203" s="6"/>
      <c r="K203" s="5" t="s">
        <v>1449</v>
      </c>
      <c r="L203" s="12" t="s">
        <v>10</v>
      </c>
      <c r="M203" s="22" t="s">
        <v>7</v>
      </c>
      <c r="N203" s="150">
        <v>1625</v>
      </c>
      <c r="O203" s="22">
        <v>2125</v>
      </c>
      <c r="P203" s="49">
        <f t="shared" si="5"/>
        <v>3.453125</v>
      </c>
      <c r="Q203" s="12">
        <v>3.45</v>
      </c>
      <c r="R203" s="12">
        <v>1.1599999999999999</v>
      </c>
      <c r="S203" s="12">
        <v>12.69</v>
      </c>
      <c r="T203" s="12">
        <v>3</v>
      </c>
      <c r="U203" s="49">
        <f>S203*T203-P203-Q203-X203-Y203</f>
        <v>31.166875000000001</v>
      </c>
      <c r="V203" s="152"/>
      <c r="W203" s="152"/>
      <c r="X203" s="152"/>
      <c r="Y203" s="12"/>
    </row>
    <row r="204" spans="1:25" ht="30" customHeight="1" x14ac:dyDescent="0.25">
      <c r="A204" s="145" t="s">
        <v>748</v>
      </c>
      <c r="B204" s="145" t="s">
        <v>361</v>
      </c>
      <c r="C204" s="145" t="s">
        <v>1207</v>
      </c>
      <c r="D204" s="145" t="s">
        <v>101</v>
      </c>
      <c r="E204" s="168">
        <v>2.6</v>
      </c>
      <c r="F204" s="145" t="s">
        <v>4</v>
      </c>
      <c r="G204" s="5" t="s">
        <v>77</v>
      </c>
      <c r="H204" s="181" t="s">
        <v>738</v>
      </c>
      <c r="I204" s="6"/>
      <c r="J204" s="6"/>
      <c r="K204" s="5" t="s">
        <v>1449</v>
      </c>
      <c r="L204" s="12" t="s">
        <v>81</v>
      </c>
      <c r="M204" s="22" t="s">
        <v>7</v>
      </c>
      <c r="N204" s="150">
        <v>750</v>
      </c>
      <c r="O204" s="22">
        <v>2125</v>
      </c>
      <c r="P204" s="49">
        <f t="shared" si="5"/>
        <v>1.59375</v>
      </c>
      <c r="Q204" s="12"/>
      <c r="R204" s="12"/>
      <c r="S204" s="12">
        <v>7.13</v>
      </c>
      <c r="T204" s="12">
        <v>2.4</v>
      </c>
      <c r="U204" s="152"/>
      <c r="V204" s="152"/>
      <c r="W204" s="152"/>
      <c r="X204" s="152">
        <f>S204*T204-P204-Q204-Y204</f>
        <v>15.518249999999998</v>
      </c>
      <c r="Y204" s="12"/>
    </row>
    <row r="205" spans="1:25" ht="30" customHeight="1" x14ac:dyDescent="0.25">
      <c r="A205" s="145" t="s">
        <v>748</v>
      </c>
      <c r="B205" s="145" t="s">
        <v>361</v>
      </c>
      <c r="C205" s="145" t="s">
        <v>1208</v>
      </c>
      <c r="D205" s="145" t="s">
        <v>664</v>
      </c>
      <c r="E205" s="168">
        <v>13.2</v>
      </c>
      <c r="F205" s="145" t="s">
        <v>4</v>
      </c>
      <c r="G205" s="5" t="s">
        <v>77</v>
      </c>
      <c r="H205" s="181" t="s">
        <v>738</v>
      </c>
      <c r="I205" s="6"/>
      <c r="J205" s="6"/>
      <c r="K205" s="5" t="s">
        <v>1449</v>
      </c>
      <c r="L205" s="12" t="s">
        <v>10</v>
      </c>
      <c r="M205" s="22" t="s">
        <v>7</v>
      </c>
      <c r="N205" s="150">
        <v>4150</v>
      </c>
      <c r="O205" s="22">
        <v>2125</v>
      </c>
      <c r="P205" s="49">
        <f t="shared" si="5"/>
        <v>8.8187499999999996</v>
      </c>
      <c r="Q205" s="12">
        <v>3.37</v>
      </c>
      <c r="R205" s="12">
        <v>1.1000000000000001</v>
      </c>
      <c r="S205" s="12">
        <v>14.58</v>
      </c>
      <c r="T205" s="12">
        <v>3</v>
      </c>
      <c r="U205" s="35">
        <f>S205*T205-P205-Q205-X205-Y205</f>
        <v>31.55125</v>
      </c>
      <c r="V205" s="152"/>
      <c r="W205" s="152"/>
      <c r="X205" s="152"/>
      <c r="Y205" s="12"/>
    </row>
    <row r="206" spans="1:25" ht="30" customHeight="1" x14ac:dyDescent="0.25">
      <c r="A206" s="145" t="s">
        <v>748</v>
      </c>
      <c r="B206" s="145" t="s">
        <v>361</v>
      </c>
      <c r="C206" s="145" t="s">
        <v>1209</v>
      </c>
      <c r="D206" s="145" t="s">
        <v>244</v>
      </c>
      <c r="E206" s="168">
        <v>20.5</v>
      </c>
      <c r="F206" s="145" t="s">
        <v>4</v>
      </c>
      <c r="G206" s="5" t="s">
        <v>77</v>
      </c>
      <c r="H206" s="181" t="s">
        <v>738</v>
      </c>
      <c r="I206" s="6"/>
      <c r="J206" s="6"/>
      <c r="K206" s="5" t="s">
        <v>1449</v>
      </c>
      <c r="L206" s="12" t="s">
        <v>6</v>
      </c>
      <c r="M206" s="22" t="s">
        <v>7</v>
      </c>
      <c r="N206" s="150">
        <v>1775</v>
      </c>
      <c r="O206" s="22">
        <v>2125</v>
      </c>
      <c r="P206" s="49">
        <f t="shared" si="5"/>
        <v>3.7718749999999996</v>
      </c>
      <c r="Q206" s="12">
        <v>3.26</v>
      </c>
      <c r="R206" s="12">
        <v>1.1000000000000001</v>
      </c>
      <c r="S206" s="12">
        <v>0</v>
      </c>
      <c r="T206" s="12">
        <v>2.7</v>
      </c>
      <c r="U206" s="35"/>
      <c r="V206" s="152"/>
      <c r="W206" s="152"/>
      <c r="X206" s="152"/>
      <c r="Y206" s="12"/>
    </row>
    <row r="207" spans="1:25" ht="30" customHeight="1" x14ac:dyDescent="0.25">
      <c r="A207" s="145" t="s">
        <v>748</v>
      </c>
      <c r="B207" s="145" t="s">
        <v>361</v>
      </c>
      <c r="C207" s="145" t="s">
        <v>1210</v>
      </c>
      <c r="D207" s="145" t="s">
        <v>80</v>
      </c>
      <c r="E207" s="168">
        <v>7.7</v>
      </c>
      <c r="F207" s="145" t="s">
        <v>4</v>
      </c>
      <c r="G207" s="5" t="s">
        <v>77</v>
      </c>
      <c r="H207" s="181" t="s">
        <v>738</v>
      </c>
      <c r="I207" s="6"/>
      <c r="J207" s="6"/>
      <c r="K207" s="5" t="s">
        <v>1449</v>
      </c>
      <c r="L207" s="12" t="s">
        <v>6</v>
      </c>
      <c r="M207" s="22" t="s">
        <v>7</v>
      </c>
      <c r="N207" s="150">
        <v>875</v>
      </c>
      <c r="O207" s="22">
        <v>2125</v>
      </c>
      <c r="P207" s="49">
        <f t="shared" si="5"/>
        <v>1.859375</v>
      </c>
      <c r="Q207" s="12">
        <v>5.17</v>
      </c>
      <c r="R207" s="12">
        <v>1.1599999999999999</v>
      </c>
      <c r="S207" s="12">
        <v>11.56</v>
      </c>
      <c r="T207" s="12">
        <v>2.7</v>
      </c>
      <c r="U207" s="35">
        <f>S207*T207-P207-Q207-X207-Y207</f>
        <v>24.182625000000002</v>
      </c>
      <c r="V207" s="152"/>
      <c r="W207" s="152"/>
      <c r="X207" s="152"/>
      <c r="Y207" s="12"/>
    </row>
    <row r="208" spans="1:25" ht="30" customHeight="1" x14ac:dyDescent="0.25">
      <c r="A208" s="145" t="s">
        <v>748</v>
      </c>
      <c r="B208" s="145" t="s">
        <v>361</v>
      </c>
      <c r="C208" s="145" t="s">
        <v>1211</v>
      </c>
      <c r="D208" s="145" t="s">
        <v>372</v>
      </c>
      <c r="E208" s="168">
        <v>7.7</v>
      </c>
      <c r="F208" s="145" t="s">
        <v>4</v>
      </c>
      <c r="G208" s="5" t="s">
        <v>77</v>
      </c>
      <c r="H208" s="181" t="s">
        <v>738</v>
      </c>
      <c r="I208" s="6"/>
      <c r="J208" s="6"/>
      <c r="K208" s="5" t="s">
        <v>1449</v>
      </c>
      <c r="L208" s="12" t="s">
        <v>10</v>
      </c>
      <c r="M208" s="22" t="s">
        <v>7</v>
      </c>
      <c r="N208" s="150">
        <v>875</v>
      </c>
      <c r="O208" s="22">
        <v>2125</v>
      </c>
      <c r="P208" s="49">
        <f t="shared" si="5"/>
        <v>1.859375</v>
      </c>
      <c r="Q208" s="12">
        <v>3.45</v>
      </c>
      <c r="R208" s="12">
        <v>0.57999999999999996</v>
      </c>
      <c r="S208" s="12">
        <v>12</v>
      </c>
      <c r="T208" s="12">
        <v>3</v>
      </c>
      <c r="U208" s="35">
        <f>S208*T208-P208-Q208-X208-Y208</f>
        <v>29.490625000000001</v>
      </c>
      <c r="V208" s="152"/>
      <c r="W208" s="152"/>
      <c r="X208" s="152">
        <v>1.2</v>
      </c>
      <c r="Y208" s="12"/>
    </row>
    <row r="209" spans="3:6" s="284" customFormat="1" ht="17.25" x14ac:dyDescent="0.25">
      <c r="C209" s="280" t="s">
        <v>274</v>
      </c>
      <c r="E209" s="298">
        <f>SUM(E5:E208)</f>
        <v>2663.4600000000019</v>
      </c>
      <c r="F209" s="284" t="s">
        <v>1560</v>
      </c>
    </row>
    <row r="211" spans="3:6" x14ac:dyDescent="0.25">
      <c r="C211" s="278" t="s">
        <v>1807</v>
      </c>
      <c r="D211" s="342"/>
      <c r="E211" s="358"/>
      <c r="F211" s="65"/>
    </row>
    <row r="212" spans="3:6" ht="17.25" x14ac:dyDescent="0.25">
      <c r="C212" s="65"/>
      <c r="D212" s="358" t="s">
        <v>1808</v>
      </c>
      <c r="E212" s="345">
        <f>SUM(E5:E144)+SUM(E184:E202)</f>
        <v>2210.0599999999995</v>
      </c>
      <c r="F212" s="342" t="s">
        <v>1560</v>
      </c>
    </row>
    <row r="213" spans="3:6" ht="17.25" x14ac:dyDescent="0.25">
      <c r="C213" s="65"/>
      <c r="D213" s="358" t="s">
        <v>37</v>
      </c>
      <c r="E213" s="345">
        <v>0</v>
      </c>
      <c r="F213" s="342" t="s">
        <v>1560</v>
      </c>
    </row>
    <row r="214" spans="3:6" ht="17.25" x14ac:dyDescent="0.25">
      <c r="C214" s="65"/>
      <c r="D214" s="358" t="s">
        <v>77</v>
      </c>
      <c r="E214" s="345">
        <f>SUM(E145:E183)+SUM(E203:E208)</f>
        <v>453.4</v>
      </c>
      <c r="F214" s="342" t="s">
        <v>1560</v>
      </c>
    </row>
    <row r="215" spans="3:6" ht="17.25" x14ac:dyDescent="0.25">
      <c r="C215" s="65"/>
      <c r="D215" s="358" t="s">
        <v>229</v>
      </c>
      <c r="E215" s="345">
        <v>0</v>
      </c>
      <c r="F215" s="342" t="s">
        <v>1560</v>
      </c>
    </row>
    <row r="216" spans="3:6" ht="17.25" x14ac:dyDescent="0.25">
      <c r="C216" s="65"/>
      <c r="D216" s="359" t="s">
        <v>274</v>
      </c>
      <c r="E216" s="345">
        <f>SUM(E212:E215)</f>
        <v>2663.4599999999996</v>
      </c>
      <c r="F216" s="342" t="s">
        <v>1560</v>
      </c>
    </row>
    <row r="218" spans="3:6" x14ac:dyDescent="0.25">
      <c r="C218" s="284" t="s">
        <v>2002</v>
      </c>
    </row>
    <row r="219" spans="3:6" x14ac:dyDescent="0.25">
      <c r="C219" s="284" t="s">
        <v>1989</v>
      </c>
      <c r="D219" s="64"/>
    </row>
    <row r="220" spans="3:6" x14ac:dyDescent="0.25">
      <c r="C220" s="284" t="s">
        <v>1964</v>
      </c>
      <c r="D220" s="305"/>
    </row>
    <row r="221" spans="3:6" x14ac:dyDescent="0.25">
      <c r="C221" s="504" t="s">
        <v>1968</v>
      </c>
      <c r="D221" s="305"/>
      <c r="E221" s="503" t="s">
        <v>1982</v>
      </c>
      <c r="F221" s="284" t="s">
        <v>1984</v>
      </c>
    </row>
    <row r="222" spans="3:6" x14ac:dyDescent="0.25">
      <c r="C222" s="504" t="s">
        <v>1969</v>
      </c>
      <c r="D222" s="305"/>
      <c r="E222" s="503" t="s">
        <v>1983</v>
      </c>
      <c r="F222" s="284" t="s">
        <v>379</v>
      </c>
    </row>
    <row r="223" spans="3:6" x14ac:dyDescent="0.25">
      <c r="C223" s="284" t="s">
        <v>2079</v>
      </c>
    </row>
  </sheetData>
  <sheetProtection password="87E5" sheet="1" objects="1" scenarios="1"/>
  <mergeCells count="26">
    <mergeCell ref="H1:H4"/>
    <mergeCell ref="A1:F2"/>
    <mergeCell ref="A3:A4"/>
    <mergeCell ref="B3:B4"/>
    <mergeCell ref="C3:C4"/>
    <mergeCell ref="D3:D4"/>
    <mergeCell ref="E3:F4"/>
    <mergeCell ref="G1:G4"/>
    <mergeCell ref="I1:I4"/>
    <mergeCell ref="J1:J4"/>
    <mergeCell ref="K1:K4"/>
    <mergeCell ref="L1:L4"/>
    <mergeCell ref="M1:O4"/>
    <mergeCell ref="P1:P4"/>
    <mergeCell ref="Q1:Q4"/>
    <mergeCell ref="R1:R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</mergeCells>
  <dataValidations count="1">
    <dataValidation type="list" allowBlank="1" showInputMessage="1" showErrorMessage="1" sqref="G13:G208">
      <formula1>kat</formula1>
    </dataValidation>
  </dataValidations>
  <printOptions horizontalCentered="1"/>
  <pageMargins left="0.11811023622047245" right="0.11811023622047245" top="0.15748031496062992" bottom="0.35433070866141736" header="0.31496062992125984" footer="0.31496062992125984"/>
  <pageSetup paperSize="9" scale="64" fitToHeight="0" orientation="landscape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zoomScale="80" zoomScaleNormal="80" workbookViewId="0">
      <pane xSplit="7" ySplit="4" topLeftCell="H46" activePane="bottomRight" state="frozen"/>
      <selection pane="topRight" activeCell="H1" sqref="H1"/>
      <selection pane="bottomLeft" activeCell="A5" sqref="A5"/>
      <selection pane="bottomRight" activeCell="C70" sqref="C70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3.85546875" bestFit="1" customWidth="1"/>
    <col min="5" max="5" width="7.140625" style="250" bestFit="1" customWidth="1"/>
    <col min="6" max="6" width="3.7109375" bestFit="1" customWidth="1"/>
    <col min="7" max="7" width="15.140625" customWidth="1"/>
    <col min="8" max="8" width="15.7109375" customWidth="1"/>
    <col min="9" max="9" width="18.85546875" customWidth="1"/>
    <col min="10" max="10" width="20.7109375" customWidth="1"/>
    <col min="11" max="11" width="22.85546875" customWidth="1"/>
    <col min="12" max="12" width="10.28515625" customWidth="1"/>
    <col min="13" max="13" width="7" customWidth="1"/>
    <col min="14" max="14" width="7.140625" customWidth="1"/>
    <col min="15" max="15" width="5.5703125" customWidth="1"/>
    <col min="16" max="16" width="7.140625" customWidth="1"/>
    <col min="17" max="17" width="7.7109375" customWidth="1"/>
    <col min="18" max="18" width="8.28515625" customWidth="1"/>
    <col min="19" max="19" width="7.28515625" customWidth="1"/>
    <col min="20" max="20" width="6.42578125" customWidth="1"/>
    <col min="21" max="21" width="7.5703125" customWidth="1"/>
    <col min="22" max="22" width="7.140625" customWidth="1"/>
    <col min="23" max="23" width="7" customWidth="1"/>
    <col min="24" max="24" width="8.140625" customWidth="1"/>
    <col min="25" max="25" width="0.42578125" customWidth="1"/>
  </cols>
  <sheetData>
    <row r="1" spans="1:25" s="15" customFormat="1" ht="15" customHeight="1" x14ac:dyDescent="0.25">
      <c r="A1" s="642" t="s">
        <v>1262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1588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0" customHeigh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ht="45" x14ac:dyDescent="0.25">
      <c r="A5" s="225" t="s">
        <v>748</v>
      </c>
      <c r="B5" s="225" t="s">
        <v>361</v>
      </c>
      <c r="C5" s="225" t="s">
        <v>1213</v>
      </c>
      <c r="D5" s="225" t="s">
        <v>148</v>
      </c>
      <c r="E5" s="247">
        <v>18.7</v>
      </c>
      <c r="F5" s="225" t="s">
        <v>4</v>
      </c>
      <c r="G5" s="21" t="s">
        <v>1214</v>
      </c>
      <c r="H5" s="180" t="s">
        <v>738</v>
      </c>
      <c r="I5" s="21" t="s">
        <v>753</v>
      </c>
      <c r="J5" s="21" t="s">
        <v>754</v>
      </c>
      <c r="K5" s="5" t="s">
        <v>1449</v>
      </c>
      <c r="L5" s="24" t="s">
        <v>6</v>
      </c>
      <c r="M5" s="22" t="s">
        <v>7</v>
      </c>
      <c r="N5" s="320">
        <v>8300</v>
      </c>
      <c r="O5" s="324">
        <v>2125</v>
      </c>
      <c r="P5" s="11">
        <f t="shared" ref="P5:P39" si="0">N5*O5*0.000001</f>
        <v>17.637499999999999</v>
      </c>
      <c r="Q5" s="25"/>
      <c r="R5" s="25"/>
      <c r="S5" s="25">
        <v>18.79</v>
      </c>
      <c r="T5" s="25">
        <v>2.7</v>
      </c>
      <c r="U5" s="11"/>
      <c r="V5" s="26">
        <f>S5*T5-P5-Q5-X5-Y5</f>
        <v>29.895500000000002</v>
      </c>
      <c r="W5" s="26"/>
      <c r="X5" s="26">
        <v>3.2</v>
      </c>
      <c r="Y5" s="25"/>
    </row>
    <row r="6" spans="1:25" ht="45" customHeight="1" x14ac:dyDescent="0.25">
      <c r="A6" s="145" t="s">
        <v>748</v>
      </c>
      <c r="B6" s="145" t="s">
        <v>361</v>
      </c>
      <c r="C6" s="145" t="s">
        <v>1215</v>
      </c>
      <c r="D6" s="145" t="s">
        <v>55</v>
      </c>
      <c r="E6" s="235">
        <v>97.4</v>
      </c>
      <c r="F6" s="145" t="s">
        <v>4</v>
      </c>
      <c r="G6" s="5" t="s">
        <v>1214</v>
      </c>
      <c r="H6" s="180" t="s">
        <v>738</v>
      </c>
      <c r="I6" s="5" t="s">
        <v>753</v>
      </c>
      <c r="J6" s="5" t="s">
        <v>780</v>
      </c>
      <c r="K6" s="5" t="s">
        <v>1449</v>
      </c>
      <c r="L6" s="12" t="s">
        <v>6</v>
      </c>
      <c r="M6" s="22" t="s">
        <v>7</v>
      </c>
      <c r="N6" s="161">
        <v>42000</v>
      </c>
      <c r="O6" s="324">
        <v>2125</v>
      </c>
      <c r="P6" s="11">
        <f t="shared" si="0"/>
        <v>89.25</v>
      </c>
      <c r="Q6" s="13">
        <v>3.45</v>
      </c>
      <c r="R6" s="13"/>
      <c r="S6" s="13">
        <v>98.62</v>
      </c>
      <c r="T6" s="13">
        <v>2.7</v>
      </c>
      <c r="U6" s="26"/>
      <c r="V6" s="47">
        <f>S6*T6-P6-Q6-X6-Y6</f>
        <v>150.68400000000008</v>
      </c>
      <c r="W6" s="47"/>
      <c r="X6" s="47"/>
      <c r="Y6" s="13">
        <v>22.89</v>
      </c>
    </row>
    <row r="7" spans="1:25" ht="45" customHeight="1" x14ac:dyDescent="0.25">
      <c r="A7" s="145" t="s">
        <v>748</v>
      </c>
      <c r="B7" s="145" t="s">
        <v>361</v>
      </c>
      <c r="C7" s="145" t="s">
        <v>1216</v>
      </c>
      <c r="D7" s="145" t="s">
        <v>1217</v>
      </c>
      <c r="E7" s="235">
        <v>5.5</v>
      </c>
      <c r="F7" s="145" t="s">
        <v>4</v>
      </c>
      <c r="G7" s="5" t="s">
        <v>1214</v>
      </c>
      <c r="H7" s="180" t="s">
        <v>738</v>
      </c>
      <c r="I7" s="5" t="s">
        <v>753</v>
      </c>
      <c r="J7" s="5" t="s">
        <v>817</v>
      </c>
      <c r="K7" s="5" t="s">
        <v>1449</v>
      </c>
      <c r="L7" s="12" t="s">
        <v>81</v>
      </c>
      <c r="M7" s="22" t="s">
        <v>7</v>
      </c>
      <c r="N7" s="161">
        <v>900</v>
      </c>
      <c r="O7" s="324">
        <v>2125</v>
      </c>
      <c r="P7" s="11">
        <f t="shared" si="0"/>
        <v>1.9124999999999999</v>
      </c>
      <c r="Q7" s="13"/>
      <c r="R7" s="13"/>
      <c r="S7" s="13">
        <v>9.8000000000000007</v>
      </c>
      <c r="T7" s="13">
        <v>2.6</v>
      </c>
      <c r="U7" s="26"/>
      <c r="V7" s="47"/>
      <c r="W7" s="47"/>
      <c r="X7" s="47">
        <f>S7*T7-P7</f>
        <v>23.567500000000003</v>
      </c>
      <c r="Y7" s="13"/>
    </row>
    <row r="8" spans="1:25" ht="45" x14ac:dyDescent="0.25">
      <c r="A8" s="145" t="s">
        <v>748</v>
      </c>
      <c r="B8" s="145" t="s">
        <v>361</v>
      </c>
      <c r="C8" s="145" t="s">
        <v>1218</v>
      </c>
      <c r="D8" s="145" t="s">
        <v>3</v>
      </c>
      <c r="E8" s="235">
        <v>3</v>
      </c>
      <c r="F8" s="145" t="s">
        <v>4</v>
      </c>
      <c r="G8" s="5" t="s">
        <v>1214</v>
      </c>
      <c r="H8" s="180" t="s">
        <v>738</v>
      </c>
      <c r="I8" s="5" t="s">
        <v>753</v>
      </c>
      <c r="J8" s="5" t="s">
        <v>756</v>
      </c>
      <c r="K8" s="5" t="s">
        <v>1449</v>
      </c>
      <c r="L8" s="12" t="s">
        <v>6</v>
      </c>
      <c r="M8" s="22" t="s">
        <v>7</v>
      </c>
      <c r="N8" s="161">
        <v>3575</v>
      </c>
      <c r="O8" s="324">
        <v>2125</v>
      </c>
      <c r="P8" s="11">
        <f t="shared" si="0"/>
        <v>7.5968749999999998</v>
      </c>
      <c r="Q8" s="13"/>
      <c r="R8" s="13"/>
      <c r="S8" s="13">
        <v>8</v>
      </c>
      <c r="T8" s="13">
        <v>2.6</v>
      </c>
      <c r="U8" s="47">
        <f>S8*T8-P8-X8</f>
        <v>4</v>
      </c>
      <c r="V8" s="47"/>
      <c r="W8" s="47"/>
      <c r="X8" s="47">
        <f>S8*2.1-P8</f>
        <v>9.203125</v>
      </c>
      <c r="Y8" s="13"/>
    </row>
    <row r="9" spans="1:25" ht="45" customHeight="1" x14ac:dyDescent="0.25">
      <c r="A9" s="145" t="s">
        <v>748</v>
      </c>
      <c r="B9" s="145" t="s">
        <v>361</v>
      </c>
      <c r="C9" s="145" t="s">
        <v>1219</v>
      </c>
      <c r="D9" s="145" t="s">
        <v>221</v>
      </c>
      <c r="E9" s="235">
        <v>10.3</v>
      </c>
      <c r="F9" s="145" t="s">
        <v>4</v>
      </c>
      <c r="G9" s="5" t="s">
        <v>1214</v>
      </c>
      <c r="H9" s="180" t="s">
        <v>738</v>
      </c>
      <c r="I9" s="5" t="s">
        <v>753</v>
      </c>
      <c r="J9" s="5" t="s">
        <v>863</v>
      </c>
      <c r="K9" s="5" t="s">
        <v>1449</v>
      </c>
      <c r="L9" s="12" t="s">
        <v>10</v>
      </c>
      <c r="M9" s="22" t="s">
        <v>7</v>
      </c>
      <c r="N9" s="161">
        <v>875</v>
      </c>
      <c r="O9" s="324">
        <v>2125</v>
      </c>
      <c r="P9" s="11">
        <f t="shared" si="0"/>
        <v>1.859375</v>
      </c>
      <c r="Q9" s="13"/>
      <c r="R9" s="13"/>
      <c r="S9" s="13">
        <v>12.85</v>
      </c>
      <c r="T9" s="13">
        <v>2.6</v>
      </c>
      <c r="U9" s="16">
        <f>S9*T9-P9-Q9-X9-Y9</f>
        <v>30.820625000000003</v>
      </c>
      <c r="V9" s="47"/>
      <c r="W9" s="47"/>
      <c r="X9" s="47"/>
      <c r="Y9" s="13">
        <v>0.73</v>
      </c>
    </row>
    <row r="10" spans="1:25" ht="45" customHeight="1" x14ac:dyDescent="0.25">
      <c r="A10" s="145" t="s">
        <v>748</v>
      </c>
      <c r="B10" s="145" t="s">
        <v>361</v>
      </c>
      <c r="C10" s="145" t="s">
        <v>1220</v>
      </c>
      <c r="D10" s="145" t="s">
        <v>3</v>
      </c>
      <c r="E10" s="235">
        <v>2.9</v>
      </c>
      <c r="F10" s="145" t="s">
        <v>4</v>
      </c>
      <c r="G10" s="5" t="s">
        <v>1214</v>
      </c>
      <c r="H10" s="180" t="s">
        <v>738</v>
      </c>
      <c r="I10" s="5" t="s">
        <v>753</v>
      </c>
      <c r="J10" s="5" t="s">
        <v>756</v>
      </c>
      <c r="K10" s="5" t="s">
        <v>1449</v>
      </c>
      <c r="L10" s="12" t="s">
        <v>6</v>
      </c>
      <c r="M10" s="22" t="s">
        <v>7</v>
      </c>
      <c r="N10" s="161">
        <v>6075</v>
      </c>
      <c r="O10" s="324">
        <v>2125</v>
      </c>
      <c r="P10" s="11">
        <f t="shared" si="0"/>
        <v>12.909374999999999</v>
      </c>
      <c r="Q10" s="13"/>
      <c r="R10" s="13"/>
      <c r="S10" s="13">
        <v>7.9</v>
      </c>
      <c r="T10" s="13">
        <v>2.6</v>
      </c>
      <c r="U10" s="26">
        <f>S10*T10-P10-X10</f>
        <v>3.9500000000000028</v>
      </c>
      <c r="V10" s="47"/>
      <c r="W10" s="47"/>
      <c r="X10" s="47">
        <f>S10*2.1-P10</f>
        <v>3.6806250000000009</v>
      </c>
      <c r="Y10" s="13"/>
    </row>
    <row r="11" spans="1:25" ht="45" customHeight="1" x14ac:dyDescent="0.25">
      <c r="A11" s="145" t="s">
        <v>748</v>
      </c>
      <c r="B11" s="145" t="s">
        <v>361</v>
      </c>
      <c r="C11" s="145" t="s">
        <v>1221</v>
      </c>
      <c r="D11" s="145" t="s">
        <v>224</v>
      </c>
      <c r="E11" s="235">
        <v>1.7</v>
      </c>
      <c r="F11" s="145" t="s">
        <v>4</v>
      </c>
      <c r="G11" s="5" t="s">
        <v>1214</v>
      </c>
      <c r="H11" s="180" t="s">
        <v>738</v>
      </c>
      <c r="I11" s="5" t="s">
        <v>753</v>
      </c>
      <c r="J11" s="5" t="s">
        <v>788</v>
      </c>
      <c r="K11" s="5" t="s">
        <v>1449</v>
      </c>
      <c r="L11" s="12" t="s">
        <v>6</v>
      </c>
      <c r="M11" s="22" t="s">
        <v>7</v>
      </c>
      <c r="N11" s="161">
        <v>875</v>
      </c>
      <c r="O11" s="324">
        <v>2125</v>
      </c>
      <c r="P11" s="11">
        <f t="shared" si="0"/>
        <v>1.859375</v>
      </c>
      <c r="Q11" s="13"/>
      <c r="R11" s="13"/>
      <c r="S11" s="13">
        <v>5.35</v>
      </c>
      <c r="T11" s="13">
        <v>2.6</v>
      </c>
      <c r="U11" s="26"/>
      <c r="V11" s="47"/>
      <c r="W11" s="47"/>
      <c r="X11" s="47">
        <f>S11*T11-P11</f>
        <v>12.050625</v>
      </c>
      <c r="Y11" s="13"/>
    </row>
    <row r="12" spans="1:25" ht="45" customHeight="1" x14ac:dyDescent="0.25">
      <c r="A12" s="145" t="s">
        <v>748</v>
      </c>
      <c r="B12" s="145" t="s">
        <v>361</v>
      </c>
      <c r="C12" s="145" t="s">
        <v>1222</v>
      </c>
      <c r="D12" s="145" t="s">
        <v>138</v>
      </c>
      <c r="E12" s="235">
        <v>1.2</v>
      </c>
      <c r="F12" s="145" t="s">
        <v>4</v>
      </c>
      <c r="G12" s="5" t="s">
        <v>1214</v>
      </c>
      <c r="H12" s="180" t="s">
        <v>738</v>
      </c>
      <c r="I12" s="5" t="s">
        <v>753</v>
      </c>
      <c r="J12" s="5" t="s">
        <v>788</v>
      </c>
      <c r="K12" s="5" t="s">
        <v>1449</v>
      </c>
      <c r="L12" s="12" t="s">
        <v>6</v>
      </c>
      <c r="M12" s="22" t="s">
        <v>7</v>
      </c>
      <c r="N12" s="161">
        <v>875</v>
      </c>
      <c r="O12" s="324">
        <v>2125</v>
      </c>
      <c r="P12" s="11">
        <f t="shared" si="0"/>
        <v>1.859375</v>
      </c>
      <c r="Q12" s="13"/>
      <c r="R12" s="13"/>
      <c r="S12" s="13">
        <v>4.45</v>
      </c>
      <c r="T12" s="13">
        <v>2.6</v>
      </c>
      <c r="U12" s="26">
        <f>S12*T12-P12-X12</f>
        <v>2.2249999999999996</v>
      </c>
      <c r="V12" s="47"/>
      <c r="W12" s="47"/>
      <c r="X12" s="47">
        <f>S12*2.1-P12</f>
        <v>7.4856250000000006</v>
      </c>
      <c r="Y12" s="13"/>
    </row>
    <row r="13" spans="1:25" ht="45" customHeight="1" x14ac:dyDescent="0.25">
      <c r="A13" s="145" t="s">
        <v>748</v>
      </c>
      <c r="B13" s="145" t="s">
        <v>361</v>
      </c>
      <c r="C13" s="145" t="s">
        <v>1223</v>
      </c>
      <c r="D13" s="145" t="s">
        <v>151</v>
      </c>
      <c r="E13" s="235">
        <v>2.2000000000000002</v>
      </c>
      <c r="F13" s="145" t="s">
        <v>4</v>
      </c>
      <c r="G13" s="5" t="s">
        <v>1214</v>
      </c>
      <c r="H13" s="180" t="s">
        <v>738</v>
      </c>
      <c r="I13" s="5" t="s">
        <v>753</v>
      </c>
      <c r="J13" s="5" t="s">
        <v>786</v>
      </c>
      <c r="K13" s="5" t="s">
        <v>1449</v>
      </c>
      <c r="L13" s="12" t="s">
        <v>6</v>
      </c>
      <c r="M13" s="22" t="s">
        <v>7</v>
      </c>
      <c r="N13" s="161">
        <v>750</v>
      </c>
      <c r="O13" s="324">
        <v>2125</v>
      </c>
      <c r="P13" s="11">
        <f t="shared" si="0"/>
        <v>1.59375</v>
      </c>
      <c r="Q13" s="13"/>
      <c r="R13" s="13"/>
      <c r="S13" s="13">
        <v>6</v>
      </c>
      <c r="T13" s="13">
        <v>2.6</v>
      </c>
      <c r="U13" s="26">
        <f>S13*T13-P13-X13</f>
        <v>3</v>
      </c>
      <c r="V13" s="47"/>
      <c r="W13" s="47"/>
      <c r="X13" s="47">
        <f>S13*2.1-P13</f>
        <v>11.006250000000001</v>
      </c>
      <c r="Y13" s="13"/>
    </row>
    <row r="14" spans="1:25" ht="45" customHeight="1" x14ac:dyDescent="0.25">
      <c r="A14" s="145" t="s">
        <v>748</v>
      </c>
      <c r="B14" s="145" t="s">
        <v>361</v>
      </c>
      <c r="C14" s="145" t="s">
        <v>1224</v>
      </c>
      <c r="D14" s="145" t="s">
        <v>1225</v>
      </c>
      <c r="E14" s="235">
        <v>6.1</v>
      </c>
      <c r="F14" s="145" t="s">
        <v>4</v>
      </c>
      <c r="G14" s="5" t="s">
        <v>1214</v>
      </c>
      <c r="H14" s="180" t="s">
        <v>738</v>
      </c>
      <c r="I14" s="5" t="s">
        <v>753</v>
      </c>
      <c r="J14" s="5" t="s">
        <v>786</v>
      </c>
      <c r="K14" s="5" t="s">
        <v>1449</v>
      </c>
      <c r="L14" s="12" t="s">
        <v>6</v>
      </c>
      <c r="M14" s="22" t="s">
        <v>7</v>
      </c>
      <c r="N14" s="161">
        <v>2000</v>
      </c>
      <c r="O14" s="324">
        <v>2125</v>
      </c>
      <c r="P14" s="11">
        <f t="shared" si="0"/>
        <v>4.25</v>
      </c>
      <c r="Q14" s="13"/>
      <c r="R14" s="13"/>
      <c r="S14" s="13">
        <v>10</v>
      </c>
      <c r="T14" s="13">
        <v>2.6</v>
      </c>
      <c r="U14" s="47">
        <f>S14*T14-P14-X14</f>
        <v>5</v>
      </c>
      <c r="V14" s="47"/>
      <c r="W14" s="47"/>
      <c r="X14" s="47">
        <f>S14*2.1-P14</f>
        <v>16.75</v>
      </c>
      <c r="Y14" s="13"/>
    </row>
    <row r="15" spans="1:25" ht="45" customHeight="1" x14ac:dyDescent="0.25">
      <c r="A15" s="145" t="s">
        <v>748</v>
      </c>
      <c r="B15" s="145" t="s">
        <v>361</v>
      </c>
      <c r="C15" s="145" t="s">
        <v>1226</v>
      </c>
      <c r="D15" s="145" t="s">
        <v>55</v>
      </c>
      <c r="E15" s="235">
        <v>3.7</v>
      </c>
      <c r="F15" s="145" t="s">
        <v>4</v>
      </c>
      <c r="G15" s="5" t="s">
        <v>1214</v>
      </c>
      <c r="H15" s="180" t="s">
        <v>738</v>
      </c>
      <c r="I15" s="5" t="s">
        <v>753</v>
      </c>
      <c r="J15" s="5" t="s">
        <v>786</v>
      </c>
      <c r="K15" s="5" t="s">
        <v>1449</v>
      </c>
      <c r="L15" s="12" t="s">
        <v>6</v>
      </c>
      <c r="M15" s="22" t="s">
        <v>7</v>
      </c>
      <c r="N15" s="161">
        <v>3400</v>
      </c>
      <c r="O15" s="324">
        <v>2125</v>
      </c>
      <c r="P15" s="11">
        <f t="shared" si="0"/>
        <v>7.2249999999999996</v>
      </c>
      <c r="Q15" s="13"/>
      <c r="R15" s="13"/>
      <c r="S15" s="13">
        <v>8.9499999999999993</v>
      </c>
      <c r="T15" s="13">
        <v>2.6</v>
      </c>
      <c r="U15" s="26">
        <f>S15*T15-P15-X15</f>
        <v>4.4750000000000032</v>
      </c>
      <c r="V15" s="47"/>
      <c r="W15" s="47"/>
      <c r="X15" s="47">
        <f>S15*2.1-P15</f>
        <v>11.569999999999999</v>
      </c>
      <c r="Y15" s="13"/>
    </row>
    <row r="16" spans="1:25" ht="45" customHeight="1" x14ac:dyDescent="0.25">
      <c r="A16" s="145" t="s">
        <v>748</v>
      </c>
      <c r="B16" s="145" t="s">
        <v>361</v>
      </c>
      <c r="C16" s="145" t="s">
        <v>1226</v>
      </c>
      <c r="D16" s="145" t="s">
        <v>65</v>
      </c>
      <c r="E16" s="235">
        <v>1.2</v>
      </c>
      <c r="F16" s="145" t="s">
        <v>4</v>
      </c>
      <c r="G16" s="5" t="s">
        <v>1214</v>
      </c>
      <c r="H16" s="180" t="s">
        <v>738</v>
      </c>
      <c r="I16" s="5" t="s">
        <v>753</v>
      </c>
      <c r="J16" s="5" t="s">
        <v>771</v>
      </c>
      <c r="K16" s="5" t="s">
        <v>1449</v>
      </c>
      <c r="L16" s="12" t="s">
        <v>6</v>
      </c>
      <c r="M16" s="22" t="s">
        <v>7</v>
      </c>
      <c r="N16" s="161">
        <v>875</v>
      </c>
      <c r="O16" s="324">
        <v>2125</v>
      </c>
      <c r="P16" s="11">
        <f t="shared" si="0"/>
        <v>1.859375</v>
      </c>
      <c r="Q16" s="13"/>
      <c r="R16" s="13"/>
      <c r="S16" s="13">
        <v>4.1500000000000004</v>
      </c>
      <c r="T16" s="13">
        <v>2.6</v>
      </c>
      <c r="U16" s="26"/>
      <c r="V16" s="47"/>
      <c r="W16" s="47"/>
      <c r="X16" s="47">
        <f>S16*T16-P16</f>
        <v>8.9306250000000009</v>
      </c>
      <c r="Y16" s="13"/>
    </row>
    <row r="17" spans="1:25" ht="45" customHeight="1" x14ac:dyDescent="0.25">
      <c r="A17" s="145" t="s">
        <v>748</v>
      </c>
      <c r="B17" s="145" t="s">
        <v>361</v>
      </c>
      <c r="C17" s="145" t="s">
        <v>1227</v>
      </c>
      <c r="D17" s="145" t="s">
        <v>192</v>
      </c>
      <c r="E17" s="235">
        <v>9.9</v>
      </c>
      <c r="F17" s="145" t="s">
        <v>4</v>
      </c>
      <c r="G17" s="5" t="s">
        <v>1214</v>
      </c>
      <c r="H17" s="180" t="s">
        <v>738</v>
      </c>
      <c r="I17" s="5" t="s">
        <v>753</v>
      </c>
      <c r="J17" s="5" t="s">
        <v>778</v>
      </c>
      <c r="K17" s="5" t="s">
        <v>1449</v>
      </c>
      <c r="L17" s="12" t="s">
        <v>10</v>
      </c>
      <c r="M17" s="22" t="s">
        <v>7</v>
      </c>
      <c r="N17" s="161">
        <v>2000</v>
      </c>
      <c r="O17" s="324">
        <v>2125</v>
      </c>
      <c r="P17" s="11">
        <f t="shared" si="0"/>
        <v>4.25</v>
      </c>
      <c r="Q17" s="13"/>
      <c r="R17" s="13"/>
      <c r="S17" s="13">
        <v>12.65</v>
      </c>
      <c r="T17" s="13">
        <v>2.6</v>
      </c>
      <c r="U17" s="11">
        <f>S17*T17-P17-Q17-X17-Y17</f>
        <v>28.64</v>
      </c>
      <c r="V17" s="47"/>
      <c r="W17" s="47"/>
      <c r="X17" s="47"/>
      <c r="Y17" s="13"/>
    </row>
    <row r="18" spans="1:25" ht="45" customHeight="1" x14ac:dyDescent="0.25">
      <c r="A18" s="145" t="s">
        <v>748</v>
      </c>
      <c r="B18" s="145" t="s">
        <v>361</v>
      </c>
      <c r="C18" s="145" t="s">
        <v>1228</v>
      </c>
      <c r="D18" s="145" t="s">
        <v>140</v>
      </c>
      <c r="E18" s="235">
        <v>9.1999999999999993</v>
      </c>
      <c r="F18" s="145" t="s">
        <v>4</v>
      </c>
      <c r="G18" s="5" t="s">
        <v>1214</v>
      </c>
      <c r="H18" s="180" t="s">
        <v>738</v>
      </c>
      <c r="I18" s="5" t="s">
        <v>753</v>
      </c>
      <c r="J18" s="5" t="s">
        <v>759</v>
      </c>
      <c r="K18" s="5" t="s">
        <v>1449</v>
      </c>
      <c r="L18" s="12" t="s">
        <v>10</v>
      </c>
      <c r="M18" s="22" t="s">
        <v>7</v>
      </c>
      <c r="N18" s="161">
        <v>3250</v>
      </c>
      <c r="O18" s="324">
        <v>2125</v>
      </c>
      <c r="P18" s="11">
        <f t="shared" si="0"/>
        <v>6.90625</v>
      </c>
      <c r="Q18" s="13"/>
      <c r="R18" s="13"/>
      <c r="S18" s="13">
        <v>14.65</v>
      </c>
      <c r="T18" s="13">
        <v>2.6</v>
      </c>
      <c r="U18" s="11">
        <f>S18*T18-P18-Q18-X18-Y18</f>
        <v>31.183750000000003</v>
      </c>
      <c r="V18" s="47"/>
      <c r="W18" s="47"/>
      <c r="X18" s="47"/>
      <c r="Y18" s="13"/>
    </row>
    <row r="19" spans="1:25" ht="45" customHeight="1" x14ac:dyDescent="0.25">
      <c r="A19" s="145" t="s">
        <v>748</v>
      </c>
      <c r="B19" s="145" t="s">
        <v>361</v>
      </c>
      <c r="C19" s="145" t="s">
        <v>1229</v>
      </c>
      <c r="D19" s="145" t="s">
        <v>220</v>
      </c>
      <c r="E19" s="235">
        <v>1.5</v>
      </c>
      <c r="F19" s="145" t="s">
        <v>4</v>
      </c>
      <c r="G19" s="5" t="s">
        <v>1214</v>
      </c>
      <c r="H19" s="180" t="s">
        <v>738</v>
      </c>
      <c r="I19" s="5" t="s">
        <v>753</v>
      </c>
      <c r="J19" s="5" t="s">
        <v>761</v>
      </c>
      <c r="K19" s="5" t="s">
        <v>1449</v>
      </c>
      <c r="L19" s="12" t="s">
        <v>81</v>
      </c>
      <c r="M19" s="22" t="s">
        <v>7</v>
      </c>
      <c r="N19" s="161">
        <v>750</v>
      </c>
      <c r="O19" s="324">
        <v>2125</v>
      </c>
      <c r="P19" s="11">
        <f t="shared" si="0"/>
        <v>1.59375</v>
      </c>
      <c r="Q19" s="13"/>
      <c r="R19" s="13"/>
      <c r="S19" s="13">
        <v>5.2</v>
      </c>
      <c r="T19" s="13">
        <v>2.6</v>
      </c>
      <c r="U19" s="26"/>
      <c r="V19" s="47"/>
      <c r="W19" s="47"/>
      <c r="X19" s="47">
        <f>S19*T19-P19</f>
        <v>11.926250000000001</v>
      </c>
      <c r="Y19" s="13"/>
    </row>
    <row r="20" spans="1:25" ht="45" customHeight="1" x14ac:dyDescent="0.25">
      <c r="A20" s="145" t="s">
        <v>748</v>
      </c>
      <c r="B20" s="145" t="s">
        <v>361</v>
      </c>
      <c r="C20" s="145" t="s">
        <v>1230</v>
      </c>
      <c r="D20" s="145" t="s">
        <v>65</v>
      </c>
      <c r="E20" s="235">
        <v>1.5</v>
      </c>
      <c r="F20" s="145" t="s">
        <v>4</v>
      </c>
      <c r="G20" s="5" t="s">
        <v>1214</v>
      </c>
      <c r="H20" s="180" t="s">
        <v>738</v>
      </c>
      <c r="I20" s="5" t="s">
        <v>753</v>
      </c>
      <c r="J20" s="5" t="s">
        <v>761</v>
      </c>
      <c r="K20" s="5" t="s">
        <v>1449</v>
      </c>
      <c r="L20" s="12" t="s">
        <v>6</v>
      </c>
      <c r="M20" s="22" t="s">
        <v>7</v>
      </c>
      <c r="N20" s="161">
        <v>750</v>
      </c>
      <c r="O20" s="324">
        <v>2125</v>
      </c>
      <c r="P20" s="11">
        <f t="shared" si="0"/>
        <v>1.59375</v>
      </c>
      <c r="Q20" s="13"/>
      <c r="R20" s="13"/>
      <c r="S20" s="13">
        <v>4.95</v>
      </c>
      <c r="T20" s="13">
        <v>2.6</v>
      </c>
      <c r="U20" s="47"/>
      <c r="V20" s="47"/>
      <c r="W20" s="47"/>
      <c r="X20" s="47">
        <f>S20*T20-P20</f>
        <v>11.276250000000001</v>
      </c>
      <c r="Y20" s="13"/>
    </row>
    <row r="21" spans="1:25" ht="45" customHeight="1" x14ac:dyDescent="0.25">
      <c r="A21" s="145" t="s">
        <v>748</v>
      </c>
      <c r="B21" s="145" t="s">
        <v>361</v>
      </c>
      <c r="C21" s="145" t="s">
        <v>1231</v>
      </c>
      <c r="D21" s="145" t="s">
        <v>140</v>
      </c>
      <c r="E21" s="235">
        <v>10.4</v>
      </c>
      <c r="F21" s="145" t="s">
        <v>4</v>
      </c>
      <c r="G21" s="5" t="s">
        <v>1214</v>
      </c>
      <c r="H21" s="180" t="s">
        <v>738</v>
      </c>
      <c r="I21" s="5" t="s">
        <v>753</v>
      </c>
      <c r="J21" s="5" t="s">
        <v>761</v>
      </c>
      <c r="K21" s="5" t="s">
        <v>1449</v>
      </c>
      <c r="L21" s="12" t="s">
        <v>10</v>
      </c>
      <c r="M21" s="22" t="s">
        <v>7</v>
      </c>
      <c r="N21" s="161">
        <v>3250</v>
      </c>
      <c r="O21" s="324">
        <v>2125</v>
      </c>
      <c r="P21" s="11">
        <f t="shared" si="0"/>
        <v>6.90625</v>
      </c>
      <c r="Q21" s="13"/>
      <c r="R21" s="13"/>
      <c r="S21" s="13">
        <v>15.25</v>
      </c>
      <c r="T21" s="13">
        <v>2.6</v>
      </c>
      <c r="U21" s="16">
        <f>S21*T21-P21-Q21-X21-Y21</f>
        <v>32.743749999999999</v>
      </c>
      <c r="V21" s="47"/>
      <c r="W21" s="47"/>
      <c r="X21" s="47"/>
      <c r="Y21" s="13"/>
    </row>
    <row r="22" spans="1:25" ht="45" customHeight="1" x14ac:dyDescent="0.25">
      <c r="A22" s="145" t="s">
        <v>748</v>
      </c>
      <c r="B22" s="145" t="s">
        <v>361</v>
      </c>
      <c r="C22" s="145" t="s">
        <v>1232</v>
      </c>
      <c r="D22" s="145" t="s">
        <v>220</v>
      </c>
      <c r="E22" s="235">
        <v>1.5</v>
      </c>
      <c r="F22" s="145" t="s">
        <v>4</v>
      </c>
      <c r="G22" s="5" t="s">
        <v>1214</v>
      </c>
      <c r="H22" s="180" t="s">
        <v>738</v>
      </c>
      <c r="I22" s="5" t="s">
        <v>753</v>
      </c>
      <c r="J22" s="5" t="s">
        <v>761</v>
      </c>
      <c r="K22" s="5" t="s">
        <v>1449</v>
      </c>
      <c r="L22" s="12" t="s">
        <v>81</v>
      </c>
      <c r="M22" s="22" t="s">
        <v>7</v>
      </c>
      <c r="N22" s="161">
        <v>750</v>
      </c>
      <c r="O22" s="324">
        <v>2125</v>
      </c>
      <c r="P22" s="11">
        <f t="shared" si="0"/>
        <v>1.59375</v>
      </c>
      <c r="Q22" s="13"/>
      <c r="R22" s="13"/>
      <c r="S22" s="13">
        <v>5.2</v>
      </c>
      <c r="T22" s="13">
        <v>2.6</v>
      </c>
      <c r="U22" s="47"/>
      <c r="V22" s="47"/>
      <c r="W22" s="47"/>
      <c r="X22" s="47">
        <f>S22*T22-P22</f>
        <v>11.926250000000001</v>
      </c>
      <c r="Y22" s="13"/>
    </row>
    <row r="23" spans="1:25" ht="45" customHeight="1" x14ac:dyDescent="0.25">
      <c r="A23" s="145" t="s">
        <v>748</v>
      </c>
      <c r="B23" s="145" t="s">
        <v>361</v>
      </c>
      <c r="C23" s="145" t="s">
        <v>1233</v>
      </c>
      <c r="D23" s="145" t="s">
        <v>65</v>
      </c>
      <c r="E23" s="235">
        <v>1.5</v>
      </c>
      <c r="F23" s="145" t="s">
        <v>4</v>
      </c>
      <c r="G23" s="5" t="s">
        <v>1214</v>
      </c>
      <c r="H23" s="180" t="s">
        <v>738</v>
      </c>
      <c r="I23" s="5" t="s">
        <v>753</v>
      </c>
      <c r="J23" s="5" t="s">
        <v>761</v>
      </c>
      <c r="K23" s="5" t="s">
        <v>1449</v>
      </c>
      <c r="L23" s="12" t="s">
        <v>6</v>
      </c>
      <c r="M23" s="22" t="s">
        <v>7</v>
      </c>
      <c r="N23" s="161">
        <v>750</v>
      </c>
      <c r="O23" s="324">
        <v>2125</v>
      </c>
      <c r="P23" s="11">
        <f t="shared" si="0"/>
        <v>1.59375</v>
      </c>
      <c r="Q23" s="13"/>
      <c r="R23" s="13"/>
      <c r="S23" s="13">
        <v>4.95</v>
      </c>
      <c r="T23" s="13">
        <v>2.6</v>
      </c>
      <c r="U23" s="47"/>
      <c r="V23" s="47"/>
      <c r="W23" s="47"/>
      <c r="X23" s="47">
        <f>S23*T23-P23</f>
        <v>11.276250000000001</v>
      </c>
      <c r="Y23" s="13"/>
    </row>
    <row r="24" spans="1:25" ht="45" customHeight="1" x14ac:dyDescent="0.25">
      <c r="A24" s="145" t="s">
        <v>748</v>
      </c>
      <c r="B24" s="145" t="s">
        <v>361</v>
      </c>
      <c r="C24" s="145" t="s">
        <v>1234</v>
      </c>
      <c r="D24" s="145" t="s">
        <v>783</v>
      </c>
      <c r="E24" s="235">
        <v>4.2</v>
      </c>
      <c r="F24" s="145" t="s">
        <v>4</v>
      </c>
      <c r="G24" s="5" t="s">
        <v>1214</v>
      </c>
      <c r="H24" s="180" t="s">
        <v>738</v>
      </c>
      <c r="I24" s="5" t="s">
        <v>753</v>
      </c>
      <c r="J24" s="5" t="s">
        <v>784</v>
      </c>
      <c r="K24" s="5" t="s">
        <v>1449</v>
      </c>
      <c r="L24" s="12" t="s">
        <v>6</v>
      </c>
      <c r="M24" s="22" t="s">
        <v>7</v>
      </c>
      <c r="N24" s="161">
        <v>875</v>
      </c>
      <c r="O24" s="324">
        <v>2125</v>
      </c>
      <c r="P24" s="11">
        <f t="shared" si="0"/>
        <v>1.859375</v>
      </c>
      <c r="Q24" s="13"/>
      <c r="R24" s="13"/>
      <c r="S24" s="13">
        <v>8.4</v>
      </c>
      <c r="T24" s="13">
        <v>2.6</v>
      </c>
      <c r="U24" s="47">
        <f>S24*T24-P24-X24</f>
        <v>4.2000000000000028</v>
      </c>
      <c r="V24" s="47"/>
      <c r="W24" s="47"/>
      <c r="X24" s="47">
        <f>S24*2.1-P24</f>
        <v>15.780625000000001</v>
      </c>
      <c r="Y24" s="13"/>
    </row>
    <row r="25" spans="1:25" ht="45" customHeight="1" x14ac:dyDescent="0.25">
      <c r="A25" s="145" t="s">
        <v>748</v>
      </c>
      <c r="B25" s="145" t="s">
        <v>361</v>
      </c>
      <c r="C25" s="145" t="s">
        <v>1235</v>
      </c>
      <c r="D25" s="145" t="s">
        <v>795</v>
      </c>
      <c r="E25" s="235">
        <v>6.8</v>
      </c>
      <c r="F25" s="145" t="s">
        <v>4</v>
      </c>
      <c r="G25" s="5" t="s">
        <v>1214</v>
      </c>
      <c r="H25" s="180" t="s">
        <v>738</v>
      </c>
      <c r="I25" s="5" t="s">
        <v>753</v>
      </c>
      <c r="J25" s="5" t="s">
        <v>761</v>
      </c>
      <c r="K25" s="5" t="s">
        <v>1449</v>
      </c>
      <c r="L25" s="12" t="s">
        <v>81</v>
      </c>
      <c r="M25" s="6" t="s">
        <v>7</v>
      </c>
      <c r="N25" s="161">
        <v>1125</v>
      </c>
      <c r="O25" s="162">
        <v>2125</v>
      </c>
      <c r="P25" s="16">
        <f t="shared" si="0"/>
        <v>2.390625</v>
      </c>
      <c r="Q25" s="13"/>
      <c r="R25" s="13"/>
      <c r="S25" s="13">
        <v>10.6</v>
      </c>
      <c r="T25" s="13">
        <v>2.6</v>
      </c>
      <c r="U25" s="47"/>
      <c r="V25" s="47"/>
      <c r="W25" s="47"/>
      <c r="X25" s="47">
        <f>S25*T25-P25</f>
        <v>25.169374999999999</v>
      </c>
      <c r="Y25" s="13"/>
    </row>
    <row r="26" spans="1:25" ht="45" customHeight="1" x14ac:dyDescent="0.25">
      <c r="A26" s="145" t="s">
        <v>748</v>
      </c>
      <c r="B26" s="145" t="s">
        <v>361</v>
      </c>
      <c r="C26" s="145" t="s">
        <v>1236</v>
      </c>
      <c r="D26" s="145" t="s">
        <v>1237</v>
      </c>
      <c r="E26" s="235">
        <v>7.3</v>
      </c>
      <c r="F26" s="145" t="s">
        <v>4</v>
      </c>
      <c r="G26" s="5" t="s">
        <v>1214</v>
      </c>
      <c r="H26" s="180" t="s">
        <v>738</v>
      </c>
      <c r="I26" s="5" t="s">
        <v>753</v>
      </c>
      <c r="J26" s="5" t="s">
        <v>793</v>
      </c>
      <c r="K26" s="5" t="s">
        <v>1449</v>
      </c>
      <c r="L26" s="12" t="s">
        <v>6</v>
      </c>
      <c r="M26" s="22" t="s">
        <v>7</v>
      </c>
      <c r="N26" s="320">
        <v>875</v>
      </c>
      <c r="O26" s="324">
        <v>2125</v>
      </c>
      <c r="P26" s="11">
        <f t="shared" si="0"/>
        <v>1.859375</v>
      </c>
      <c r="Q26" s="25"/>
      <c r="R26" s="25"/>
      <c r="S26" s="25">
        <v>11.99</v>
      </c>
      <c r="T26" s="25">
        <v>2.6</v>
      </c>
      <c r="U26" s="11">
        <f>S26*T26-P26-Q26-X26-Y26</f>
        <v>29.314625000000003</v>
      </c>
      <c r="V26" s="26"/>
      <c r="W26" s="26"/>
      <c r="X26" s="26"/>
      <c r="Y26" s="25"/>
    </row>
    <row r="27" spans="1:25" ht="45" customHeight="1" x14ac:dyDescent="0.25">
      <c r="A27" s="145" t="s">
        <v>748</v>
      </c>
      <c r="B27" s="145" t="s">
        <v>361</v>
      </c>
      <c r="C27" s="145" t="s">
        <v>1238</v>
      </c>
      <c r="D27" s="145" t="s">
        <v>812</v>
      </c>
      <c r="E27" s="235">
        <v>13.9</v>
      </c>
      <c r="F27" s="145" t="s">
        <v>4</v>
      </c>
      <c r="G27" s="5" t="s">
        <v>1214</v>
      </c>
      <c r="H27" s="180" t="s">
        <v>738</v>
      </c>
      <c r="I27" s="5" t="s">
        <v>753</v>
      </c>
      <c r="J27" s="5" t="s">
        <v>813</v>
      </c>
      <c r="K27" s="5" t="s">
        <v>1449</v>
      </c>
      <c r="L27" s="12" t="s">
        <v>6</v>
      </c>
      <c r="M27" s="22" t="s">
        <v>7</v>
      </c>
      <c r="N27" s="161">
        <v>2000</v>
      </c>
      <c r="O27" s="324">
        <v>2125</v>
      </c>
      <c r="P27" s="11">
        <f t="shared" si="0"/>
        <v>4.25</v>
      </c>
      <c r="Q27" s="13"/>
      <c r="R27" s="13"/>
      <c r="S27" s="13">
        <v>15.39</v>
      </c>
      <c r="T27" s="13">
        <v>2.6</v>
      </c>
      <c r="U27" s="11">
        <f>S27*T27-P27-Q27-X27-Y27</f>
        <v>32.564</v>
      </c>
      <c r="V27" s="47"/>
      <c r="W27" s="47"/>
      <c r="X27" s="47">
        <v>3.2</v>
      </c>
      <c r="Y27" s="13"/>
    </row>
    <row r="28" spans="1:25" ht="45" customHeight="1" x14ac:dyDescent="0.25">
      <c r="A28" s="145" t="s">
        <v>748</v>
      </c>
      <c r="B28" s="145" t="s">
        <v>361</v>
      </c>
      <c r="C28" s="145" t="s">
        <v>1239</v>
      </c>
      <c r="D28" s="145" t="s">
        <v>436</v>
      </c>
      <c r="E28" s="235">
        <v>3.6</v>
      </c>
      <c r="F28" s="145" t="s">
        <v>4</v>
      </c>
      <c r="G28" s="5" t="s">
        <v>1214</v>
      </c>
      <c r="H28" s="180" t="s">
        <v>738</v>
      </c>
      <c r="I28" s="5" t="s">
        <v>753</v>
      </c>
      <c r="J28" s="5" t="s">
        <v>817</v>
      </c>
      <c r="K28" s="5" t="s">
        <v>1449</v>
      </c>
      <c r="L28" s="12" t="s">
        <v>81</v>
      </c>
      <c r="M28" s="22" t="s">
        <v>7</v>
      </c>
      <c r="N28" s="161">
        <v>875</v>
      </c>
      <c r="O28" s="324">
        <v>2125</v>
      </c>
      <c r="P28" s="11">
        <f t="shared" si="0"/>
        <v>1.859375</v>
      </c>
      <c r="Q28" s="13"/>
      <c r="R28" s="13"/>
      <c r="S28" s="13">
        <v>7.71</v>
      </c>
      <c r="T28" s="13">
        <v>2.6</v>
      </c>
      <c r="U28" s="26"/>
      <c r="V28" s="47"/>
      <c r="W28" s="47"/>
      <c r="X28" s="47">
        <f>S28*T28-P28</f>
        <v>18.186624999999999</v>
      </c>
      <c r="Y28" s="13"/>
    </row>
    <row r="29" spans="1:25" ht="45" customHeight="1" x14ac:dyDescent="0.25">
      <c r="A29" s="145" t="s">
        <v>748</v>
      </c>
      <c r="B29" s="145" t="s">
        <v>361</v>
      </c>
      <c r="C29" s="145" t="s">
        <v>1240</v>
      </c>
      <c r="D29" s="145" t="s">
        <v>815</v>
      </c>
      <c r="E29" s="235">
        <v>5.5</v>
      </c>
      <c r="F29" s="145" t="s">
        <v>4</v>
      </c>
      <c r="G29" s="5" t="s">
        <v>1214</v>
      </c>
      <c r="H29" s="180" t="s">
        <v>738</v>
      </c>
      <c r="I29" s="5" t="s">
        <v>753</v>
      </c>
      <c r="J29" s="5" t="s">
        <v>813</v>
      </c>
      <c r="K29" s="5" t="s">
        <v>1449</v>
      </c>
      <c r="L29" s="12" t="s">
        <v>81</v>
      </c>
      <c r="M29" s="22" t="s">
        <v>7</v>
      </c>
      <c r="N29" s="161">
        <v>1750</v>
      </c>
      <c r="O29" s="324">
        <v>2125</v>
      </c>
      <c r="P29" s="11">
        <f t="shared" si="0"/>
        <v>3.71875</v>
      </c>
      <c r="Q29" s="13"/>
      <c r="R29" s="13"/>
      <c r="S29" s="13">
        <v>9.3800000000000008</v>
      </c>
      <c r="T29" s="13">
        <v>2.6</v>
      </c>
      <c r="U29" s="26"/>
      <c r="V29" s="47"/>
      <c r="W29" s="47"/>
      <c r="X29" s="47">
        <f>S29*T29-P29</f>
        <v>20.669250000000002</v>
      </c>
      <c r="Y29" s="13"/>
    </row>
    <row r="30" spans="1:25" ht="45" customHeight="1" x14ac:dyDescent="0.25">
      <c r="A30" s="145" t="s">
        <v>748</v>
      </c>
      <c r="B30" s="145" t="s">
        <v>361</v>
      </c>
      <c r="C30" s="145" t="s">
        <v>1241</v>
      </c>
      <c r="D30" s="145" t="s">
        <v>829</v>
      </c>
      <c r="E30" s="235">
        <v>18.899999999999999</v>
      </c>
      <c r="F30" s="145" t="s">
        <v>4</v>
      </c>
      <c r="G30" s="5" t="s">
        <v>1214</v>
      </c>
      <c r="H30" s="180" t="s">
        <v>738</v>
      </c>
      <c r="I30" s="5" t="s">
        <v>753</v>
      </c>
      <c r="J30" s="5" t="s">
        <v>830</v>
      </c>
      <c r="K30" s="5" t="s">
        <v>1449</v>
      </c>
      <c r="L30" s="12" t="s">
        <v>10</v>
      </c>
      <c r="M30" s="22" t="s">
        <v>7</v>
      </c>
      <c r="N30" s="161">
        <v>2700</v>
      </c>
      <c r="O30" s="324">
        <v>2125</v>
      </c>
      <c r="P30" s="11">
        <f t="shared" si="0"/>
        <v>5.7374999999999998</v>
      </c>
      <c r="Q30" s="13">
        <v>4.1399999999999997</v>
      </c>
      <c r="R30" s="13"/>
      <c r="S30" s="13">
        <v>18.850000000000001</v>
      </c>
      <c r="T30" s="13">
        <v>3</v>
      </c>
      <c r="U30" s="26"/>
      <c r="V30" s="47">
        <f>S30*T30-P30-Q30-X30-Y30</f>
        <v>39.892500000000005</v>
      </c>
      <c r="W30" s="47"/>
      <c r="X30" s="47">
        <v>1</v>
      </c>
      <c r="Y30" s="13">
        <v>5.78</v>
      </c>
    </row>
    <row r="31" spans="1:25" ht="45" customHeight="1" x14ac:dyDescent="0.25">
      <c r="A31" s="145" t="s">
        <v>748</v>
      </c>
      <c r="B31" s="145" t="s">
        <v>361</v>
      </c>
      <c r="C31" s="145" t="s">
        <v>1242</v>
      </c>
      <c r="D31" s="145" t="s">
        <v>829</v>
      </c>
      <c r="E31" s="235">
        <v>18.899999999999999</v>
      </c>
      <c r="F31" s="145" t="s">
        <v>4</v>
      </c>
      <c r="G31" s="5" t="s">
        <v>1214</v>
      </c>
      <c r="H31" s="180" t="s">
        <v>738</v>
      </c>
      <c r="I31" s="5" t="s">
        <v>753</v>
      </c>
      <c r="J31" s="5" t="s">
        <v>830</v>
      </c>
      <c r="K31" s="5" t="s">
        <v>1449</v>
      </c>
      <c r="L31" s="12" t="s">
        <v>10</v>
      </c>
      <c r="M31" s="22" t="s">
        <v>388</v>
      </c>
      <c r="N31" s="161">
        <v>2700</v>
      </c>
      <c r="O31" s="324">
        <v>2125</v>
      </c>
      <c r="P31" s="11">
        <f t="shared" si="0"/>
        <v>5.7374999999999998</v>
      </c>
      <c r="Q31" s="13">
        <v>3.45</v>
      </c>
      <c r="R31" s="13"/>
      <c r="S31" s="13">
        <v>18.850000000000001</v>
      </c>
      <c r="T31" s="13">
        <v>3</v>
      </c>
      <c r="U31" s="26"/>
      <c r="V31" s="47">
        <f>S31*T31-P31-Q31-X31-Y31</f>
        <v>34.802500000000002</v>
      </c>
      <c r="W31" s="47"/>
      <c r="X31" s="47">
        <v>1</v>
      </c>
      <c r="Y31" s="13">
        <v>11.56</v>
      </c>
    </row>
    <row r="32" spans="1:25" ht="45" customHeight="1" x14ac:dyDescent="0.25">
      <c r="A32" s="145" t="s">
        <v>748</v>
      </c>
      <c r="B32" s="145" t="s">
        <v>361</v>
      </c>
      <c r="C32" s="145" t="s">
        <v>1243</v>
      </c>
      <c r="D32" s="145" t="s">
        <v>829</v>
      </c>
      <c r="E32" s="235">
        <v>18.8</v>
      </c>
      <c r="F32" s="145" t="s">
        <v>4</v>
      </c>
      <c r="G32" s="5" t="s">
        <v>1214</v>
      </c>
      <c r="H32" s="180" t="s">
        <v>738</v>
      </c>
      <c r="I32" s="5" t="s">
        <v>753</v>
      </c>
      <c r="J32" s="5" t="s">
        <v>830</v>
      </c>
      <c r="K32" s="5" t="s">
        <v>1449</v>
      </c>
      <c r="L32" s="12" t="s">
        <v>10</v>
      </c>
      <c r="M32" s="22" t="s">
        <v>388</v>
      </c>
      <c r="N32" s="161">
        <v>2700</v>
      </c>
      <c r="O32" s="324">
        <v>2125</v>
      </c>
      <c r="P32" s="11">
        <f t="shared" si="0"/>
        <v>5.7374999999999998</v>
      </c>
      <c r="Q32" s="13">
        <v>3.45</v>
      </c>
      <c r="R32" s="13"/>
      <c r="S32" s="13">
        <v>18.850000000000001</v>
      </c>
      <c r="T32" s="13">
        <v>3</v>
      </c>
      <c r="U32" s="26"/>
      <c r="V32" s="47">
        <f>S32*T32-P32-Q32-X32-Y32</f>
        <v>39.582500000000003</v>
      </c>
      <c r="W32" s="47"/>
      <c r="X32" s="47">
        <v>2</v>
      </c>
      <c r="Y32" s="13">
        <v>5.78</v>
      </c>
    </row>
    <row r="33" spans="1:25" ht="45" customHeight="1" x14ac:dyDescent="0.25">
      <c r="A33" s="145" t="s">
        <v>748</v>
      </c>
      <c r="B33" s="145" t="s">
        <v>361</v>
      </c>
      <c r="C33" s="145" t="s">
        <v>1244</v>
      </c>
      <c r="D33" s="145" t="s">
        <v>797</v>
      </c>
      <c r="E33" s="235">
        <v>39.299999999999997</v>
      </c>
      <c r="F33" s="145" t="s">
        <v>4</v>
      </c>
      <c r="G33" s="5" t="s">
        <v>1214</v>
      </c>
      <c r="H33" s="180" t="s">
        <v>738</v>
      </c>
      <c r="I33" s="5" t="s">
        <v>753</v>
      </c>
      <c r="J33" s="5" t="s">
        <v>830</v>
      </c>
      <c r="K33" s="5" t="s">
        <v>1449</v>
      </c>
      <c r="L33" s="12" t="s">
        <v>10</v>
      </c>
      <c r="M33" s="22" t="s">
        <v>388</v>
      </c>
      <c r="N33" s="161">
        <v>3200</v>
      </c>
      <c r="O33" s="324">
        <v>2125</v>
      </c>
      <c r="P33" s="11">
        <f t="shared" si="0"/>
        <v>6.8</v>
      </c>
      <c r="Q33" s="13">
        <v>5.86</v>
      </c>
      <c r="R33" s="13"/>
      <c r="S33" s="13">
        <v>26.77</v>
      </c>
      <c r="T33" s="13">
        <v>3</v>
      </c>
      <c r="U33" s="26"/>
      <c r="V33" s="47">
        <f>S33*T33-P33-Q33-X33-Y33</f>
        <v>48.660000000000011</v>
      </c>
      <c r="W33" s="47"/>
      <c r="X33" s="47">
        <v>2</v>
      </c>
      <c r="Y33" s="13">
        <v>16.989999999999998</v>
      </c>
    </row>
    <row r="34" spans="1:25" ht="45" customHeight="1" x14ac:dyDescent="0.25">
      <c r="A34" s="145" t="s">
        <v>748</v>
      </c>
      <c r="B34" s="145" t="s">
        <v>361</v>
      </c>
      <c r="C34" s="145" t="s">
        <v>1245</v>
      </c>
      <c r="D34" s="145" t="s">
        <v>32</v>
      </c>
      <c r="E34" s="235">
        <v>15</v>
      </c>
      <c r="F34" s="145" t="s">
        <v>4</v>
      </c>
      <c r="G34" s="5" t="s">
        <v>1214</v>
      </c>
      <c r="H34" s="180" t="s">
        <v>738</v>
      </c>
      <c r="I34" s="5" t="s">
        <v>753</v>
      </c>
      <c r="J34" s="5" t="s">
        <v>825</v>
      </c>
      <c r="K34" s="5" t="s">
        <v>1449</v>
      </c>
      <c r="L34" s="12" t="s">
        <v>6</v>
      </c>
      <c r="M34" s="22" t="s">
        <v>7</v>
      </c>
      <c r="N34" s="161">
        <v>0</v>
      </c>
      <c r="O34" s="324">
        <v>0</v>
      </c>
      <c r="P34" s="11">
        <f t="shared" si="0"/>
        <v>0</v>
      </c>
      <c r="Q34" s="13"/>
      <c r="R34" s="13"/>
      <c r="S34" s="13">
        <v>0</v>
      </c>
      <c r="T34" s="13">
        <v>3</v>
      </c>
      <c r="U34" s="26"/>
      <c r="V34" s="47"/>
      <c r="W34" s="47"/>
      <c r="X34" s="47"/>
      <c r="Y34" s="13"/>
    </row>
    <row r="35" spans="1:25" ht="45" customHeight="1" x14ac:dyDescent="0.25">
      <c r="A35" s="145" t="s">
        <v>748</v>
      </c>
      <c r="B35" s="145" t="s">
        <v>361</v>
      </c>
      <c r="C35" s="145" t="s">
        <v>1246</v>
      </c>
      <c r="D35" s="145" t="s">
        <v>371</v>
      </c>
      <c r="E35" s="235">
        <v>24.9</v>
      </c>
      <c r="F35" s="145" t="s">
        <v>4</v>
      </c>
      <c r="G35" s="5" t="s">
        <v>1214</v>
      </c>
      <c r="H35" s="180" t="s">
        <v>738</v>
      </c>
      <c r="I35" s="5" t="s">
        <v>753</v>
      </c>
      <c r="J35" s="5" t="s">
        <v>827</v>
      </c>
      <c r="K35" s="5" t="s">
        <v>1449</v>
      </c>
      <c r="L35" s="12" t="s">
        <v>10</v>
      </c>
      <c r="M35" s="22" t="s">
        <v>388</v>
      </c>
      <c r="N35" s="161">
        <v>875</v>
      </c>
      <c r="O35" s="324">
        <v>2125</v>
      </c>
      <c r="P35" s="11">
        <f t="shared" si="0"/>
        <v>1.859375</v>
      </c>
      <c r="Q35" s="13">
        <v>1.72</v>
      </c>
      <c r="R35" s="13"/>
      <c r="S35" s="13">
        <v>20.11</v>
      </c>
      <c r="T35" s="13">
        <v>3</v>
      </c>
      <c r="U35" s="47"/>
      <c r="V35" s="47">
        <f>S35*T35-P35-Q35-X35-Y35</f>
        <v>44.710625</v>
      </c>
      <c r="W35" s="47"/>
      <c r="X35" s="47"/>
      <c r="Y35" s="13">
        <v>12.04</v>
      </c>
    </row>
    <row r="36" spans="1:25" ht="45" customHeight="1" x14ac:dyDescent="0.25">
      <c r="A36" s="145" t="s">
        <v>748</v>
      </c>
      <c r="B36" s="145" t="s">
        <v>361</v>
      </c>
      <c r="C36" s="145" t="s">
        <v>1247</v>
      </c>
      <c r="D36" s="145" t="s">
        <v>797</v>
      </c>
      <c r="E36" s="235">
        <v>36.200000000000003</v>
      </c>
      <c r="F36" s="145" t="s">
        <v>4</v>
      </c>
      <c r="G36" s="5" t="s">
        <v>1214</v>
      </c>
      <c r="H36" s="180" t="s">
        <v>738</v>
      </c>
      <c r="I36" s="5" t="s">
        <v>753</v>
      </c>
      <c r="J36" s="5" t="s">
        <v>798</v>
      </c>
      <c r="K36" s="5" t="s">
        <v>1449</v>
      </c>
      <c r="L36" s="12" t="s">
        <v>10</v>
      </c>
      <c r="M36" s="22" t="s">
        <v>388</v>
      </c>
      <c r="N36" s="161">
        <v>3200</v>
      </c>
      <c r="O36" s="324">
        <v>2125</v>
      </c>
      <c r="P36" s="11">
        <f t="shared" si="0"/>
        <v>6.8</v>
      </c>
      <c r="Q36" s="13">
        <v>5.52</v>
      </c>
      <c r="R36" s="13"/>
      <c r="S36" s="13">
        <v>25.51</v>
      </c>
      <c r="T36" s="13">
        <v>3</v>
      </c>
      <c r="U36" s="26"/>
      <c r="V36" s="47">
        <f>S36*T36-P36-Q36-X36-Y36</f>
        <v>47.750000000000007</v>
      </c>
      <c r="W36" s="47"/>
      <c r="X36" s="47">
        <v>1</v>
      </c>
      <c r="Y36" s="13">
        <v>15.46</v>
      </c>
    </row>
    <row r="37" spans="1:25" ht="45" customHeight="1" x14ac:dyDescent="0.25">
      <c r="A37" s="145" t="s">
        <v>748</v>
      </c>
      <c r="B37" s="145" t="s">
        <v>361</v>
      </c>
      <c r="C37" s="145" t="s">
        <v>1248</v>
      </c>
      <c r="D37" s="145" t="s">
        <v>797</v>
      </c>
      <c r="E37" s="235">
        <v>38.4</v>
      </c>
      <c r="F37" s="145" t="s">
        <v>4</v>
      </c>
      <c r="G37" s="5" t="s">
        <v>1214</v>
      </c>
      <c r="H37" s="180" t="s">
        <v>738</v>
      </c>
      <c r="I37" s="5" t="s">
        <v>753</v>
      </c>
      <c r="J37" s="5" t="s">
        <v>798</v>
      </c>
      <c r="K37" s="5" t="s">
        <v>1449</v>
      </c>
      <c r="L37" s="12" t="s">
        <v>10</v>
      </c>
      <c r="M37" s="22" t="s">
        <v>388</v>
      </c>
      <c r="N37" s="161">
        <v>3200</v>
      </c>
      <c r="O37" s="324">
        <v>2125</v>
      </c>
      <c r="P37" s="11">
        <f t="shared" si="0"/>
        <v>6.8</v>
      </c>
      <c r="Q37" s="13">
        <v>5.52</v>
      </c>
      <c r="R37" s="13"/>
      <c r="S37" s="13">
        <v>26.28</v>
      </c>
      <c r="T37" s="13">
        <v>3</v>
      </c>
      <c r="U37" s="47"/>
      <c r="V37" s="47">
        <f>S37*T37-P37-Q37-X37-Y37</f>
        <v>47.230000000000011</v>
      </c>
      <c r="W37" s="47"/>
      <c r="X37" s="47">
        <v>1</v>
      </c>
      <c r="Y37" s="13">
        <v>18.29</v>
      </c>
    </row>
    <row r="38" spans="1:25" ht="45" customHeight="1" x14ac:dyDescent="0.25">
      <c r="A38" s="145" t="s">
        <v>748</v>
      </c>
      <c r="B38" s="145" t="s">
        <v>361</v>
      </c>
      <c r="C38" s="145" t="s">
        <v>1249</v>
      </c>
      <c r="D38" s="145" t="s">
        <v>797</v>
      </c>
      <c r="E38" s="235">
        <v>38.6</v>
      </c>
      <c r="F38" s="145" t="s">
        <v>4</v>
      </c>
      <c r="G38" s="5" t="s">
        <v>1214</v>
      </c>
      <c r="H38" s="180" t="s">
        <v>738</v>
      </c>
      <c r="I38" s="5" t="s">
        <v>753</v>
      </c>
      <c r="J38" s="5" t="s">
        <v>798</v>
      </c>
      <c r="K38" s="5" t="s">
        <v>1449</v>
      </c>
      <c r="L38" s="12" t="s">
        <v>10</v>
      </c>
      <c r="M38" s="22" t="s">
        <v>388</v>
      </c>
      <c r="N38" s="161">
        <v>3200</v>
      </c>
      <c r="O38" s="324">
        <v>2125</v>
      </c>
      <c r="P38" s="11">
        <f t="shared" si="0"/>
        <v>6.8</v>
      </c>
      <c r="Q38" s="13">
        <v>5.52</v>
      </c>
      <c r="R38" s="13"/>
      <c r="S38" s="13">
        <v>26.26</v>
      </c>
      <c r="T38" s="13">
        <v>3</v>
      </c>
      <c r="U38" s="47"/>
      <c r="V38" s="47">
        <f>S38*T38-P38-Q38-X38-Y38</f>
        <v>47.170000000000009</v>
      </c>
      <c r="W38" s="47"/>
      <c r="X38" s="47">
        <v>1</v>
      </c>
      <c r="Y38" s="13">
        <v>18.29</v>
      </c>
    </row>
    <row r="39" spans="1:25" ht="45" customHeight="1" x14ac:dyDescent="0.25">
      <c r="A39" s="145" t="s">
        <v>748</v>
      </c>
      <c r="B39" s="145" t="s">
        <v>361</v>
      </c>
      <c r="C39" s="145" t="s">
        <v>1250</v>
      </c>
      <c r="D39" s="145" t="s">
        <v>797</v>
      </c>
      <c r="E39" s="235">
        <v>41.8</v>
      </c>
      <c r="F39" s="145" t="s">
        <v>4</v>
      </c>
      <c r="G39" s="5" t="s">
        <v>1214</v>
      </c>
      <c r="H39" s="180" t="s">
        <v>738</v>
      </c>
      <c r="I39" s="5" t="s">
        <v>753</v>
      </c>
      <c r="J39" s="5" t="s">
        <v>798</v>
      </c>
      <c r="K39" s="5" t="s">
        <v>1449</v>
      </c>
      <c r="L39" s="12" t="s">
        <v>10</v>
      </c>
      <c r="M39" s="22" t="s">
        <v>388</v>
      </c>
      <c r="N39" s="161">
        <v>3200</v>
      </c>
      <c r="O39" s="324">
        <v>2125</v>
      </c>
      <c r="P39" s="11">
        <f t="shared" si="0"/>
        <v>6.8</v>
      </c>
      <c r="Q39" s="13">
        <v>5.52</v>
      </c>
      <c r="R39" s="13"/>
      <c r="S39" s="13">
        <v>26.01</v>
      </c>
      <c r="T39" s="13">
        <v>3</v>
      </c>
      <c r="U39" s="26"/>
      <c r="V39" s="47">
        <f>S39*T39-P39-Q39-X39-Y39</f>
        <v>54.920000000000009</v>
      </c>
      <c r="W39" s="47"/>
      <c r="X39" s="47">
        <v>1</v>
      </c>
      <c r="Y39" s="13">
        <v>9.7899999999999991</v>
      </c>
    </row>
    <row r="40" spans="1:25" ht="45" customHeight="1" x14ac:dyDescent="0.25">
      <c r="A40" s="145" t="s">
        <v>748</v>
      </c>
      <c r="B40" s="145" t="s">
        <v>361</v>
      </c>
      <c r="C40" s="145" t="s">
        <v>1251</v>
      </c>
      <c r="D40" s="145" t="s">
        <v>528</v>
      </c>
      <c r="E40" s="235">
        <v>9.4</v>
      </c>
      <c r="F40" s="145" t="s">
        <v>4</v>
      </c>
      <c r="G40" s="5" t="s">
        <v>77</v>
      </c>
      <c r="H40" s="180" t="s">
        <v>738</v>
      </c>
      <c r="I40" s="5" t="s">
        <v>753</v>
      </c>
      <c r="J40" s="5" t="s">
        <v>786</v>
      </c>
      <c r="K40" s="5" t="s">
        <v>1449</v>
      </c>
      <c r="L40" s="12" t="s">
        <v>10</v>
      </c>
      <c r="M40" s="22" t="s">
        <v>7</v>
      </c>
      <c r="N40" s="161">
        <v>875</v>
      </c>
      <c r="O40" s="324">
        <v>2125</v>
      </c>
      <c r="P40" s="11">
        <f t="shared" ref="P40:P50" si="1">N40*O40*0.000001</f>
        <v>1.859375</v>
      </c>
      <c r="Q40" s="13"/>
      <c r="R40" s="13"/>
      <c r="S40" s="13">
        <v>12.3</v>
      </c>
      <c r="T40" s="13">
        <v>2.6</v>
      </c>
      <c r="U40" s="16">
        <f>S40*T40-P40-Q40-X40-Y40</f>
        <v>30.120625000000004</v>
      </c>
      <c r="V40" s="47"/>
      <c r="W40" s="47"/>
      <c r="X40" s="47"/>
      <c r="Y40" s="13"/>
    </row>
    <row r="41" spans="1:25" ht="45" customHeight="1" x14ac:dyDescent="0.25">
      <c r="A41" s="145" t="s">
        <v>748</v>
      </c>
      <c r="B41" s="145" t="s">
        <v>361</v>
      </c>
      <c r="C41" s="145" t="s">
        <v>1252</v>
      </c>
      <c r="D41" s="145" t="s">
        <v>664</v>
      </c>
      <c r="E41" s="235">
        <v>26.6</v>
      </c>
      <c r="F41" s="145" t="s">
        <v>4</v>
      </c>
      <c r="G41" s="5" t="s">
        <v>77</v>
      </c>
      <c r="H41" s="180" t="s">
        <v>738</v>
      </c>
      <c r="I41" s="5" t="s">
        <v>753</v>
      </c>
      <c r="J41" s="5" t="s">
        <v>819</v>
      </c>
      <c r="K41" s="5" t="s">
        <v>1449</v>
      </c>
      <c r="L41" s="12" t="s">
        <v>10</v>
      </c>
      <c r="M41" s="22" t="s">
        <v>7</v>
      </c>
      <c r="N41" s="161">
        <v>1125</v>
      </c>
      <c r="O41" s="324">
        <v>2125</v>
      </c>
      <c r="P41" s="11">
        <f t="shared" si="1"/>
        <v>2.390625</v>
      </c>
      <c r="Q41" s="13">
        <v>4.1399999999999997</v>
      </c>
      <c r="R41" s="13">
        <v>1.1599999999999999</v>
      </c>
      <c r="S41" s="13">
        <v>22.5</v>
      </c>
      <c r="T41" s="13">
        <v>2.7</v>
      </c>
      <c r="U41" s="16">
        <f>S41*T41-P41-Q41-X41-Y41</f>
        <v>54.219375000000007</v>
      </c>
      <c r="V41" s="47"/>
      <c r="W41" s="47"/>
      <c r="X41" s="47"/>
      <c r="Y41" s="13"/>
    </row>
    <row r="42" spans="1:25" ht="45" customHeight="1" x14ac:dyDescent="0.25">
      <c r="A42" s="145" t="s">
        <v>748</v>
      </c>
      <c r="B42" s="145" t="s">
        <v>361</v>
      </c>
      <c r="C42" s="145" t="s">
        <v>1253</v>
      </c>
      <c r="D42" s="145" t="s">
        <v>539</v>
      </c>
      <c r="E42" s="235">
        <v>14.4</v>
      </c>
      <c r="F42" s="145" t="s">
        <v>4</v>
      </c>
      <c r="G42" s="5" t="s">
        <v>77</v>
      </c>
      <c r="H42" s="180" t="s">
        <v>738</v>
      </c>
      <c r="I42" s="5" t="s">
        <v>753</v>
      </c>
      <c r="J42" s="5" t="s">
        <v>821</v>
      </c>
      <c r="K42" s="5" t="s">
        <v>1449</v>
      </c>
      <c r="L42" s="12" t="s">
        <v>10</v>
      </c>
      <c r="M42" s="22" t="s">
        <v>7</v>
      </c>
      <c r="N42" s="161">
        <v>1750</v>
      </c>
      <c r="O42" s="324">
        <v>2125</v>
      </c>
      <c r="P42" s="11">
        <f t="shared" si="1"/>
        <v>3.71875</v>
      </c>
      <c r="Q42" s="13">
        <v>4.1399999999999997</v>
      </c>
      <c r="R42" s="13">
        <v>1.1599999999999999</v>
      </c>
      <c r="S42" s="13">
        <v>18.39</v>
      </c>
      <c r="T42" s="13">
        <v>2.7</v>
      </c>
      <c r="U42" s="16">
        <f>S42*T42-P42-Q42-X42-Y42</f>
        <v>41.794250000000005</v>
      </c>
      <c r="V42" s="47"/>
      <c r="W42" s="47"/>
      <c r="X42" s="47"/>
      <c r="Y42" s="13"/>
    </row>
    <row r="43" spans="1:25" ht="45" customHeight="1" x14ac:dyDescent="0.25">
      <c r="A43" s="145" t="s">
        <v>748</v>
      </c>
      <c r="B43" s="145" t="s">
        <v>361</v>
      </c>
      <c r="C43" s="145" t="s">
        <v>1254</v>
      </c>
      <c r="D43" s="145" t="s">
        <v>101</v>
      </c>
      <c r="E43" s="235">
        <v>2.5</v>
      </c>
      <c r="F43" s="145" t="s">
        <v>4</v>
      </c>
      <c r="G43" s="5" t="s">
        <v>77</v>
      </c>
      <c r="H43" s="180" t="s">
        <v>738</v>
      </c>
      <c r="I43" s="5" t="s">
        <v>753</v>
      </c>
      <c r="J43" s="5" t="s">
        <v>823</v>
      </c>
      <c r="K43" s="5" t="s">
        <v>1449</v>
      </c>
      <c r="L43" s="12" t="s">
        <v>81</v>
      </c>
      <c r="M43" s="22" t="s">
        <v>7</v>
      </c>
      <c r="N43" s="161">
        <v>875</v>
      </c>
      <c r="O43" s="324">
        <v>2125</v>
      </c>
      <c r="P43" s="11">
        <f t="shared" si="1"/>
        <v>1.859375</v>
      </c>
      <c r="Q43" s="13"/>
      <c r="R43" s="13"/>
      <c r="S43" s="13">
        <v>6.55</v>
      </c>
      <c r="T43" s="13">
        <v>2.7</v>
      </c>
      <c r="U43" s="26"/>
      <c r="V43" s="47"/>
      <c r="W43" s="47"/>
      <c r="X43" s="47">
        <f>S43*T43-P43</f>
        <v>15.825625000000002</v>
      </c>
      <c r="Y43" s="13"/>
    </row>
    <row r="44" spans="1:25" ht="45" customHeight="1" x14ac:dyDescent="0.25">
      <c r="A44" s="145" t="s">
        <v>748</v>
      </c>
      <c r="B44" s="145" t="s">
        <v>361</v>
      </c>
      <c r="C44" s="145" t="s">
        <v>1255</v>
      </c>
      <c r="D44" s="145" t="s">
        <v>222</v>
      </c>
      <c r="E44" s="235">
        <v>14.1</v>
      </c>
      <c r="F44" s="145" t="s">
        <v>4</v>
      </c>
      <c r="G44" s="5" t="s">
        <v>77</v>
      </c>
      <c r="H44" s="180" t="s">
        <v>738</v>
      </c>
      <c r="I44" s="5" t="s">
        <v>753</v>
      </c>
      <c r="J44" s="5" t="s">
        <v>821</v>
      </c>
      <c r="K44" s="5" t="s">
        <v>1449</v>
      </c>
      <c r="L44" s="12" t="s">
        <v>10</v>
      </c>
      <c r="M44" s="22" t="s">
        <v>7</v>
      </c>
      <c r="N44" s="161">
        <v>1750</v>
      </c>
      <c r="O44" s="324">
        <v>2125</v>
      </c>
      <c r="P44" s="11">
        <f t="shared" si="1"/>
        <v>3.71875</v>
      </c>
      <c r="Q44" s="13">
        <v>3.45</v>
      </c>
      <c r="R44" s="13">
        <v>2.3199999999999998</v>
      </c>
      <c r="S44" s="13">
        <v>18.309999999999999</v>
      </c>
      <c r="T44" s="13">
        <v>2.7</v>
      </c>
      <c r="U44" s="11">
        <f>S44*T44-P44-Q44-X44-Y44</f>
        <v>42.268249999999995</v>
      </c>
      <c r="V44" s="47"/>
      <c r="W44" s="47"/>
      <c r="X44" s="47"/>
      <c r="Y44" s="13"/>
    </row>
    <row r="45" spans="1:25" ht="45" customHeight="1" x14ac:dyDescent="0.25">
      <c r="A45" s="145" t="s">
        <v>748</v>
      </c>
      <c r="B45" s="145" t="s">
        <v>361</v>
      </c>
      <c r="C45" s="145" t="s">
        <v>1256</v>
      </c>
      <c r="D45" s="145" t="s">
        <v>101</v>
      </c>
      <c r="E45" s="235">
        <v>2.7</v>
      </c>
      <c r="F45" s="145" t="s">
        <v>4</v>
      </c>
      <c r="G45" s="5" t="s">
        <v>77</v>
      </c>
      <c r="H45" s="180" t="s">
        <v>738</v>
      </c>
      <c r="I45" s="5" t="s">
        <v>753</v>
      </c>
      <c r="J45" s="5" t="s">
        <v>823</v>
      </c>
      <c r="K45" s="5" t="s">
        <v>1449</v>
      </c>
      <c r="L45" s="12" t="s">
        <v>81</v>
      </c>
      <c r="M45" s="22" t="s">
        <v>7</v>
      </c>
      <c r="N45" s="161">
        <v>875</v>
      </c>
      <c r="O45" s="324">
        <v>2125</v>
      </c>
      <c r="P45" s="11">
        <f t="shared" si="1"/>
        <v>1.859375</v>
      </c>
      <c r="Q45" s="13"/>
      <c r="R45" s="13"/>
      <c r="S45" s="13">
        <v>6.6</v>
      </c>
      <c r="T45" s="13">
        <v>2.7</v>
      </c>
      <c r="U45" s="26"/>
      <c r="V45" s="47"/>
      <c r="W45" s="47"/>
      <c r="X45" s="47">
        <f>S45*T45-P45</f>
        <v>15.960625</v>
      </c>
      <c r="Y45" s="13"/>
    </row>
    <row r="46" spans="1:25" ht="30" x14ac:dyDescent="0.25">
      <c r="A46" s="151" t="s">
        <v>748</v>
      </c>
      <c r="B46" s="151" t="s">
        <v>278</v>
      </c>
      <c r="C46" s="151" t="s">
        <v>1257</v>
      </c>
      <c r="D46" s="151" t="s">
        <v>374</v>
      </c>
      <c r="E46" s="248">
        <v>21.5</v>
      </c>
      <c r="F46" s="151" t="s">
        <v>4</v>
      </c>
      <c r="G46" s="5" t="s">
        <v>77</v>
      </c>
      <c r="H46" s="180" t="s">
        <v>738</v>
      </c>
      <c r="I46" s="5" t="s">
        <v>753</v>
      </c>
      <c r="J46" s="5"/>
      <c r="K46" s="5" t="s">
        <v>1449</v>
      </c>
      <c r="L46" s="12" t="s">
        <v>10</v>
      </c>
      <c r="M46" s="22" t="s">
        <v>7</v>
      </c>
      <c r="N46" s="161">
        <v>2000</v>
      </c>
      <c r="O46" s="324">
        <v>2125</v>
      </c>
      <c r="P46" s="11">
        <f t="shared" si="1"/>
        <v>4.25</v>
      </c>
      <c r="Q46" s="13">
        <v>12.07</v>
      </c>
      <c r="R46" s="13">
        <v>2.1</v>
      </c>
      <c r="S46" s="13">
        <v>18.600000000000001</v>
      </c>
      <c r="T46" s="13">
        <v>3</v>
      </c>
      <c r="U46" s="47">
        <f>S46*0.4</f>
        <v>7.4400000000000013</v>
      </c>
      <c r="V46" s="47"/>
      <c r="W46" s="47">
        <f>S46*T46-U46-Y46-P46-Q46</f>
        <v>32.04</v>
      </c>
      <c r="X46" s="47"/>
      <c r="Y46" s="13"/>
    </row>
    <row r="47" spans="1:25" ht="30" x14ac:dyDescent="0.25">
      <c r="A47" s="151" t="s">
        <v>748</v>
      </c>
      <c r="B47" s="151" t="s">
        <v>278</v>
      </c>
      <c r="C47" s="151" t="s">
        <v>1258</v>
      </c>
      <c r="D47" s="151" t="s">
        <v>373</v>
      </c>
      <c r="E47" s="248">
        <v>11.8</v>
      </c>
      <c r="F47" s="151" t="s">
        <v>4</v>
      </c>
      <c r="G47" s="5" t="s">
        <v>77</v>
      </c>
      <c r="H47" s="180" t="s">
        <v>738</v>
      </c>
      <c r="I47" s="5" t="s">
        <v>753</v>
      </c>
      <c r="J47" s="5"/>
      <c r="K47" s="5" t="s">
        <v>1449</v>
      </c>
      <c r="L47" s="12" t="s">
        <v>10</v>
      </c>
      <c r="M47" s="22" t="s">
        <v>7</v>
      </c>
      <c r="N47" s="161">
        <v>3125</v>
      </c>
      <c r="O47" s="324">
        <v>2125</v>
      </c>
      <c r="P47" s="11">
        <f t="shared" si="1"/>
        <v>6.640625</v>
      </c>
      <c r="Q47" s="13"/>
      <c r="R47" s="13"/>
      <c r="S47" s="13">
        <v>14.76</v>
      </c>
      <c r="T47" s="13">
        <v>3</v>
      </c>
      <c r="U47" s="26">
        <f>S47*0.4</f>
        <v>5.9039999999999999</v>
      </c>
      <c r="V47" s="47"/>
      <c r="W47" s="47">
        <f>S47*T47-U47-Y47-P47-Q47</f>
        <v>31.735375000000005</v>
      </c>
      <c r="X47" s="47"/>
      <c r="Y47" s="13"/>
    </row>
    <row r="48" spans="1:25" ht="30" x14ac:dyDescent="0.25">
      <c r="A48" s="151" t="s">
        <v>748</v>
      </c>
      <c r="B48" s="151" t="s">
        <v>278</v>
      </c>
      <c r="C48" s="151" t="s">
        <v>1259</v>
      </c>
      <c r="D48" s="151" t="s">
        <v>151</v>
      </c>
      <c r="E48" s="248">
        <v>2.9</v>
      </c>
      <c r="F48" s="151" t="s">
        <v>4</v>
      </c>
      <c r="G48" s="5" t="s">
        <v>77</v>
      </c>
      <c r="H48" s="180" t="s">
        <v>738</v>
      </c>
      <c r="I48" s="5" t="s">
        <v>753</v>
      </c>
      <c r="J48" s="5"/>
      <c r="K48" s="5" t="s">
        <v>1449</v>
      </c>
      <c r="L48" s="12" t="s">
        <v>6</v>
      </c>
      <c r="M48" s="22" t="s">
        <v>7</v>
      </c>
      <c r="N48" s="161">
        <v>875</v>
      </c>
      <c r="O48" s="324">
        <v>2125</v>
      </c>
      <c r="P48" s="11">
        <f t="shared" si="1"/>
        <v>1.859375</v>
      </c>
      <c r="Q48" s="13"/>
      <c r="R48" s="13"/>
      <c r="S48" s="13">
        <v>7.51</v>
      </c>
      <c r="T48" s="13">
        <v>2.6</v>
      </c>
      <c r="U48" s="26">
        <f>S48*T48-P48-X48</f>
        <v>3.754999999999999</v>
      </c>
      <c r="V48" s="47"/>
      <c r="W48" s="47"/>
      <c r="X48" s="47">
        <f>S48*2.1-P48</f>
        <v>13.911625000000001</v>
      </c>
      <c r="Y48" s="13"/>
    </row>
    <row r="49" spans="1:25" ht="30" x14ac:dyDescent="0.25">
      <c r="A49" s="151" t="s">
        <v>748</v>
      </c>
      <c r="B49" s="151" t="s">
        <v>278</v>
      </c>
      <c r="C49" s="151" t="s">
        <v>1260</v>
      </c>
      <c r="D49" s="151" t="s">
        <v>3</v>
      </c>
      <c r="E49" s="248">
        <v>2.6</v>
      </c>
      <c r="F49" s="151" t="s">
        <v>4</v>
      </c>
      <c r="G49" s="5" t="s">
        <v>77</v>
      </c>
      <c r="H49" s="180" t="s">
        <v>738</v>
      </c>
      <c r="I49" s="5" t="s">
        <v>753</v>
      </c>
      <c r="J49" s="5"/>
      <c r="K49" s="5" t="s">
        <v>1449</v>
      </c>
      <c r="L49" s="12" t="s">
        <v>6</v>
      </c>
      <c r="M49" s="22" t="s">
        <v>7</v>
      </c>
      <c r="N49" s="161">
        <v>2500</v>
      </c>
      <c r="O49" s="324">
        <v>2125</v>
      </c>
      <c r="P49" s="11">
        <f t="shared" si="1"/>
        <v>5.3125</v>
      </c>
      <c r="Q49" s="13"/>
      <c r="R49" s="13"/>
      <c r="S49" s="13">
        <v>6.5</v>
      </c>
      <c r="T49" s="13">
        <v>2.6</v>
      </c>
      <c r="U49" s="47">
        <f>S49*T49-P49-X49</f>
        <v>3.2500000000000018</v>
      </c>
      <c r="V49" s="47"/>
      <c r="W49" s="47"/>
      <c r="X49" s="47">
        <f>S49*2.1-P49</f>
        <v>8.3375000000000004</v>
      </c>
      <c r="Y49" s="13"/>
    </row>
    <row r="50" spans="1:25" ht="30" x14ac:dyDescent="0.25">
      <c r="A50" s="151" t="s">
        <v>748</v>
      </c>
      <c r="B50" s="151" t="s">
        <v>278</v>
      </c>
      <c r="C50" s="151" t="s">
        <v>1261</v>
      </c>
      <c r="D50" s="151" t="s">
        <v>101</v>
      </c>
      <c r="E50" s="248">
        <v>3.4</v>
      </c>
      <c r="F50" s="151" t="s">
        <v>4</v>
      </c>
      <c r="G50" s="5" t="s">
        <v>77</v>
      </c>
      <c r="H50" s="180" t="s">
        <v>738</v>
      </c>
      <c r="I50" s="5" t="s">
        <v>753</v>
      </c>
      <c r="J50" s="5"/>
      <c r="K50" s="5" t="s">
        <v>1449</v>
      </c>
      <c r="L50" s="12" t="s">
        <v>81</v>
      </c>
      <c r="M50" s="22" t="s">
        <v>7</v>
      </c>
      <c r="N50" s="161">
        <v>750</v>
      </c>
      <c r="O50" s="324">
        <v>2125</v>
      </c>
      <c r="P50" s="11">
        <f t="shared" si="1"/>
        <v>1.59375</v>
      </c>
      <c r="Q50" s="13"/>
      <c r="R50" s="13"/>
      <c r="S50" s="13">
        <v>7.92</v>
      </c>
      <c r="T50" s="13">
        <v>2.6</v>
      </c>
      <c r="U50" s="26"/>
      <c r="V50" s="47"/>
      <c r="W50" s="47"/>
      <c r="X50" s="47">
        <f>S50*T50-P50</f>
        <v>18.998249999999999</v>
      </c>
      <c r="Y50" s="13"/>
    </row>
    <row r="51" spans="1:25" ht="17.25" x14ac:dyDescent="0.25">
      <c r="C51" s="280" t="s">
        <v>274</v>
      </c>
      <c r="E51" s="286">
        <f>SUM(E5:E50)</f>
        <v>633.39999999999986</v>
      </c>
      <c r="F51" s="342" t="s">
        <v>1560</v>
      </c>
    </row>
    <row r="53" spans="1:25" x14ac:dyDescent="0.25">
      <c r="C53" s="278" t="s">
        <v>1807</v>
      </c>
      <c r="D53" s="342"/>
      <c r="E53" s="358"/>
      <c r="F53" s="65"/>
    </row>
    <row r="54" spans="1:25" ht="17.25" x14ac:dyDescent="0.25">
      <c r="C54" s="65"/>
      <c r="D54" s="358" t="s">
        <v>1808</v>
      </c>
      <c r="E54" s="345">
        <v>0</v>
      </c>
      <c r="F54" s="342" t="s">
        <v>1560</v>
      </c>
    </row>
    <row r="55" spans="1:25" ht="17.25" x14ac:dyDescent="0.25">
      <c r="C55" s="65"/>
      <c r="D55" s="358" t="s">
        <v>37</v>
      </c>
      <c r="E55" s="345">
        <f>SUM(E5:E39)</f>
        <v>521.49999999999989</v>
      </c>
      <c r="F55" s="342" t="s">
        <v>1560</v>
      </c>
    </row>
    <row r="56" spans="1:25" ht="17.25" x14ac:dyDescent="0.25">
      <c r="C56" s="65"/>
      <c r="D56" s="358" t="s">
        <v>77</v>
      </c>
      <c r="E56" s="345">
        <f>SUM(E40:E50)</f>
        <v>111.9</v>
      </c>
      <c r="F56" s="342" t="s">
        <v>1560</v>
      </c>
    </row>
    <row r="57" spans="1:25" ht="17.25" x14ac:dyDescent="0.25">
      <c r="C57" s="65"/>
      <c r="D57" s="358" t="s">
        <v>229</v>
      </c>
      <c r="E57" s="345">
        <v>0</v>
      </c>
      <c r="F57" s="342" t="s">
        <v>1560</v>
      </c>
    </row>
    <row r="58" spans="1:25" ht="17.25" x14ac:dyDescent="0.25">
      <c r="C58" s="65"/>
      <c r="D58" s="359" t="s">
        <v>274</v>
      </c>
      <c r="E58" s="345">
        <f>SUM(E54:E57)</f>
        <v>633.39999999999986</v>
      </c>
      <c r="F58" s="342" t="s">
        <v>1560</v>
      </c>
    </row>
    <row r="60" spans="1:25" x14ac:dyDescent="0.25">
      <c r="C60" s="284" t="s">
        <v>1809</v>
      </c>
    </row>
    <row r="61" spans="1:25" x14ac:dyDescent="0.25">
      <c r="C61" s="163" t="s">
        <v>1589</v>
      </c>
      <c r="D61" s="505" t="s">
        <v>2060</v>
      </c>
      <c r="E61" s="505"/>
      <c r="F61" s="505"/>
      <c r="G61" s="505"/>
      <c r="H61" s="505"/>
      <c r="I61" s="505"/>
      <c r="J61" s="505"/>
      <c r="K61" s="505"/>
    </row>
    <row r="62" spans="1:25" x14ac:dyDescent="0.25">
      <c r="C62" s="163"/>
      <c r="D62" s="505" t="s">
        <v>2061</v>
      </c>
      <c r="E62" s="505"/>
      <c r="F62" s="505"/>
      <c r="G62" s="505"/>
      <c r="H62" s="505"/>
      <c r="I62" s="505"/>
      <c r="J62" s="505"/>
      <c r="K62" s="505"/>
    </row>
    <row r="64" spans="1:25" x14ac:dyDescent="0.25">
      <c r="C64" s="284" t="s">
        <v>2003</v>
      </c>
    </row>
    <row r="65" spans="3:6" x14ac:dyDescent="0.25">
      <c r="C65" s="284" t="s">
        <v>1979</v>
      </c>
      <c r="D65" s="64"/>
      <c r="E65" s="171"/>
    </row>
    <row r="66" spans="3:6" x14ac:dyDescent="0.25">
      <c r="C66" s="284" t="s">
        <v>1964</v>
      </c>
      <c r="D66" s="305"/>
      <c r="E66" s="171"/>
    </row>
    <row r="67" spans="3:6" x14ac:dyDescent="0.25">
      <c r="C67" s="504" t="s">
        <v>1968</v>
      </c>
      <c r="D67" s="305"/>
      <c r="E67" s="503" t="s">
        <v>1982</v>
      </c>
      <c r="F67" s="284" t="s">
        <v>1984</v>
      </c>
    </row>
    <row r="68" spans="3:6" x14ac:dyDescent="0.25">
      <c r="C68" s="504" t="s">
        <v>1969</v>
      </c>
      <c r="D68" s="305"/>
      <c r="E68" s="503" t="s">
        <v>1983</v>
      </c>
      <c r="F68" s="284" t="s">
        <v>379</v>
      </c>
    </row>
    <row r="69" spans="3:6" x14ac:dyDescent="0.25">
      <c r="C69" s="284" t="s">
        <v>2079</v>
      </c>
      <c r="D69" s="305"/>
      <c r="E69" s="171"/>
    </row>
  </sheetData>
  <sheetProtection password="87E5" sheet="1" objects="1" scenarios="1"/>
  <mergeCells count="26">
    <mergeCell ref="A1:F2"/>
    <mergeCell ref="A3:A4"/>
    <mergeCell ref="B3:B4"/>
    <mergeCell ref="C3:C4"/>
    <mergeCell ref="D3:D4"/>
    <mergeCell ref="E3:F4"/>
    <mergeCell ref="G1:G4"/>
    <mergeCell ref="M1:O4"/>
    <mergeCell ref="P1:P4"/>
    <mergeCell ref="Q1:Q4"/>
    <mergeCell ref="R1:R4"/>
    <mergeCell ref="H1:H4"/>
    <mergeCell ref="I1:I4"/>
    <mergeCell ref="J1:J4"/>
    <mergeCell ref="K1:K4"/>
    <mergeCell ref="L1:L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</mergeCells>
  <dataValidations disablePrompts="1" count="1">
    <dataValidation type="list" allowBlank="1" showInputMessage="1" showErrorMessage="1" sqref="G5:G50">
      <formula1>kat</formula1>
    </dataValidation>
  </dataValidations>
  <printOptions horizontalCentered="1"/>
  <pageMargins left="0.11811023622047245" right="0.11811023622047245" top="0.15748031496062992" bottom="0.55118110236220474" header="0.31496062992125984" footer="0.31496062992125984"/>
  <pageSetup paperSize="9" scale="60" fitToHeight="0" orientation="landscape" r:id="rId1"/>
  <headerFooter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zoomScale="80" zoomScaleNormal="80" workbookViewId="0">
      <pane xSplit="7" ySplit="4" topLeftCell="H17" activePane="bottomRight" state="frozen"/>
      <selection pane="topRight" activeCell="H1" sqref="H1"/>
      <selection pane="bottomLeft" activeCell="A5" sqref="A5"/>
      <selection pane="bottomRight" activeCell="I40" sqref="I40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15" bestFit="1" customWidth="1"/>
    <col min="5" max="5" width="7.140625" style="250" bestFit="1" customWidth="1"/>
    <col min="6" max="6" width="3.85546875" bestFit="1" customWidth="1"/>
    <col min="7" max="7" width="11.140625" customWidth="1"/>
    <col min="8" max="8" width="14.28515625" customWidth="1"/>
    <col min="9" max="9" width="9.7109375" customWidth="1"/>
    <col min="10" max="10" width="11.140625" customWidth="1"/>
    <col min="11" max="11" width="25.42578125" customWidth="1"/>
    <col min="12" max="12" width="10.28515625" customWidth="1"/>
    <col min="13" max="13" width="7" customWidth="1"/>
    <col min="14" max="14" width="7.140625" customWidth="1"/>
    <col min="15" max="15" width="6" customWidth="1"/>
    <col min="16" max="16" width="7.5703125" customWidth="1"/>
    <col min="17" max="17" width="8" customWidth="1"/>
    <col min="18" max="18" width="8.5703125" customWidth="1"/>
    <col min="19" max="19" width="7.5703125" customWidth="1"/>
    <col min="20" max="20" width="6.5703125" customWidth="1"/>
    <col min="21" max="21" width="7.5703125" customWidth="1"/>
    <col min="22" max="22" width="5.7109375" customWidth="1"/>
    <col min="23" max="23" width="7" customWidth="1"/>
    <col min="24" max="24" width="8.140625" customWidth="1"/>
    <col min="25" max="25" width="9.140625" customWidth="1"/>
  </cols>
  <sheetData>
    <row r="1" spans="1:25" s="15" customFormat="1" ht="15" customHeight="1" x14ac:dyDescent="0.25">
      <c r="A1" s="665" t="s">
        <v>1962</v>
      </c>
      <c r="B1" s="666"/>
      <c r="C1" s="666"/>
      <c r="D1" s="666"/>
      <c r="E1" s="666"/>
      <c r="F1" s="667"/>
      <c r="G1" s="621" t="s">
        <v>112</v>
      </c>
      <c r="H1" s="639" t="s">
        <v>2004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32.25" customHeight="1" x14ac:dyDescent="0.25">
      <c r="A2" s="668"/>
      <c r="B2" s="669"/>
      <c r="C2" s="669"/>
      <c r="D2" s="669"/>
      <c r="E2" s="669"/>
      <c r="F2" s="670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1.5" customHeigh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x14ac:dyDescent="0.25">
      <c r="A5" s="147" t="s">
        <v>748</v>
      </c>
      <c r="B5" s="147" t="s">
        <v>5</v>
      </c>
      <c r="C5" s="147" t="s">
        <v>751</v>
      </c>
      <c r="D5" s="147" t="s">
        <v>224</v>
      </c>
      <c r="E5" s="253">
        <v>1.8</v>
      </c>
      <c r="F5" s="147" t="s">
        <v>4</v>
      </c>
      <c r="G5" s="21" t="s">
        <v>5</v>
      </c>
      <c r="H5" s="180"/>
      <c r="I5" s="21"/>
      <c r="J5" s="21"/>
      <c r="K5" s="21" t="s">
        <v>2038</v>
      </c>
      <c r="L5" s="24" t="s">
        <v>81</v>
      </c>
      <c r="M5" s="24" t="s">
        <v>7</v>
      </c>
      <c r="N5" s="154">
        <v>900</v>
      </c>
      <c r="O5" s="154">
        <v>2100</v>
      </c>
      <c r="P5" s="49">
        <f t="shared" ref="P5:P31" si="0">N5*O5*0.000001</f>
        <v>1.89</v>
      </c>
      <c r="Q5" s="24"/>
      <c r="R5" s="24"/>
      <c r="S5" s="24">
        <v>5.46</v>
      </c>
      <c r="T5" s="24">
        <v>2.5</v>
      </c>
      <c r="U5" s="24"/>
      <c r="V5" s="24"/>
      <c r="W5" s="24"/>
      <c r="X5" s="155">
        <f>S5*T5-P5</f>
        <v>11.76</v>
      </c>
      <c r="Y5" s="24"/>
    </row>
    <row r="6" spans="1:25" x14ac:dyDescent="0.25">
      <c r="A6" s="151" t="s">
        <v>748</v>
      </c>
      <c r="B6" s="151" t="s">
        <v>5</v>
      </c>
      <c r="C6" s="151" t="s">
        <v>1263</v>
      </c>
      <c r="D6" s="151" t="s">
        <v>55</v>
      </c>
      <c r="E6" s="248">
        <v>14.2</v>
      </c>
      <c r="F6" s="151" t="s">
        <v>4</v>
      </c>
      <c r="G6" s="5" t="s">
        <v>77</v>
      </c>
      <c r="H6" s="181"/>
      <c r="I6" s="5"/>
      <c r="J6" s="5"/>
      <c r="K6" s="21" t="s">
        <v>2038</v>
      </c>
      <c r="L6" s="12" t="s">
        <v>6</v>
      </c>
      <c r="M6" s="179" t="s">
        <v>84</v>
      </c>
      <c r="N6" s="150">
        <v>3000</v>
      </c>
      <c r="O6" s="150">
        <v>2600</v>
      </c>
      <c r="P6" s="49">
        <f t="shared" si="0"/>
        <v>7.8</v>
      </c>
      <c r="Q6" s="12"/>
      <c r="R6" s="12"/>
      <c r="S6" s="12">
        <v>16.34</v>
      </c>
      <c r="T6" s="12">
        <v>2.5</v>
      </c>
      <c r="U6" s="49">
        <f t="shared" ref="U6:U23" si="1">S6*T6-P6-Q6-X6-Y6</f>
        <v>33.050000000000004</v>
      </c>
      <c r="V6" s="12"/>
      <c r="W6" s="12"/>
      <c r="X6" s="12"/>
      <c r="Y6" s="12"/>
    </row>
    <row r="7" spans="1:25" x14ac:dyDescent="0.25">
      <c r="A7" s="151" t="s">
        <v>748</v>
      </c>
      <c r="B7" s="151" t="s">
        <v>5</v>
      </c>
      <c r="C7" s="151" t="s">
        <v>1264</v>
      </c>
      <c r="D7" s="151" t="s">
        <v>55</v>
      </c>
      <c r="E7" s="248">
        <v>46.1</v>
      </c>
      <c r="F7" s="151" t="s">
        <v>4</v>
      </c>
      <c r="G7" s="5" t="s">
        <v>77</v>
      </c>
      <c r="H7" s="181"/>
      <c r="I7" s="5"/>
      <c r="J7" s="5"/>
      <c r="K7" s="21" t="s">
        <v>2038</v>
      </c>
      <c r="L7" s="12" t="s">
        <v>10</v>
      </c>
      <c r="M7" s="12" t="s">
        <v>7</v>
      </c>
      <c r="N7" s="161">
        <v>14250</v>
      </c>
      <c r="O7" s="161">
        <v>2100</v>
      </c>
      <c r="P7" s="11">
        <f t="shared" si="0"/>
        <v>29.924999999999997</v>
      </c>
      <c r="Q7" s="13"/>
      <c r="R7" s="13"/>
      <c r="S7" s="13">
        <v>61.69</v>
      </c>
      <c r="T7" s="13">
        <v>2.5</v>
      </c>
      <c r="U7" s="11">
        <f t="shared" si="1"/>
        <v>124.3</v>
      </c>
      <c r="V7" s="13"/>
      <c r="W7" s="13"/>
      <c r="X7" s="13"/>
      <c r="Y7" s="12"/>
    </row>
    <row r="8" spans="1:25" x14ac:dyDescent="0.25">
      <c r="A8" s="151" t="s">
        <v>748</v>
      </c>
      <c r="B8" s="151" t="s">
        <v>5</v>
      </c>
      <c r="C8" s="147" t="s">
        <v>1265</v>
      </c>
      <c r="D8" s="151" t="s">
        <v>55</v>
      </c>
      <c r="E8" s="248">
        <v>18</v>
      </c>
      <c r="F8" s="151" t="s">
        <v>4</v>
      </c>
      <c r="G8" s="5" t="s">
        <v>77</v>
      </c>
      <c r="H8" s="181"/>
      <c r="I8" s="5"/>
      <c r="J8" s="5"/>
      <c r="K8" s="21" t="s">
        <v>2038</v>
      </c>
      <c r="L8" s="12" t="s">
        <v>6</v>
      </c>
      <c r="M8" s="12" t="s">
        <v>370</v>
      </c>
      <c r="N8" s="161">
        <v>4050</v>
      </c>
      <c r="O8" s="161">
        <v>2100</v>
      </c>
      <c r="P8" s="11">
        <f t="shared" si="0"/>
        <v>8.504999999999999</v>
      </c>
      <c r="Q8" s="13"/>
      <c r="R8" s="13"/>
      <c r="S8" s="13">
        <v>25.73</v>
      </c>
      <c r="T8" s="13">
        <v>2.5</v>
      </c>
      <c r="U8" s="11">
        <f t="shared" si="1"/>
        <v>55.820000000000007</v>
      </c>
      <c r="V8" s="13"/>
      <c r="W8" s="13"/>
      <c r="X8" s="13"/>
      <c r="Y8" s="12"/>
    </row>
    <row r="9" spans="1:25" x14ac:dyDescent="0.25">
      <c r="A9" s="151" t="s">
        <v>748</v>
      </c>
      <c r="B9" s="151" t="s">
        <v>5</v>
      </c>
      <c r="C9" s="151" t="s">
        <v>1266</v>
      </c>
      <c r="D9" s="151" t="s">
        <v>221</v>
      </c>
      <c r="E9" s="248">
        <v>14.3</v>
      </c>
      <c r="F9" s="151" t="s">
        <v>4</v>
      </c>
      <c r="G9" s="5" t="s">
        <v>77</v>
      </c>
      <c r="H9" s="181"/>
      <c r="I9" s="5"/>
      <c r="J9" s="5"/>
      <c r="K9" s="21" t="s">
        <v>2038</v>
      </c>
      <c r="L9" s="12" t="s">
        <v>10</v>
      </c>
      <c r="M9" s="12" t="s">
        <v>7</v>
      </c>
      <c r="N9" s="161">
        <v>900</v>
      </c>
      <c r="O9" s="161">
        <v>2100</v>
      </c>
      <c r="P9" s="11">
        <f t="shared" si="0"/>
        <v>1.89</v>
      </c>
      <c r="Q9" s="13">
        <v>2.25</v>
      </c>
      <c r="R9" s="13"/>
      <c r="S9" s="13">
        <v>14.7</v>
      </c>
      <c r="T9" s="13">
        <v>2.5</v>
      </c>
      <c r="U9" s="11">
        <f t="shared" si="1"/>
        <v>30.61</v>
      </c>
      <c r="V9" s="13"/>
      <c r="W9" s="13"/>
      <c r="X9" s="13">
        <v>2</v>
      </c>
      <c r="Y9" s="12"/>
    </row>
    <row r="10" spans="1:25" x14ac:dyDescent="0.25">
      <c r="A10" s="151" t="s">
        <v>748</v>
      </c>
      <c r="B10" s="151" t="s">
        <v>5</v>
      </c>
      <c r="C10" s="151" t="s">
        <v>1267</v>
      </c>
      <c r="D10" s="151" t="s">
        <v>221</v>
      </c>
      <c r="E10" s="248">
        <v>15.3</v>
      </c>
      <c r="F10" s="151" t="s">
        <v>4</v>
      </c>
      <c r="G10" s="5" t="s">
        <v>77</v>
      </c>
      <c r="H10" s="181"/>
      <c r="I10" s="5"/>
      <c r="J10" s="5"/>
      <c r="K10" s="21" t="s">
        <v>2038</v>
      </c>
      <c r="L10" s="12" t="s">
        <v>10</v>
      </c>
      <c r="M10" s="12" t="s">
        <v>7</v>
      </c>
      <c r="N10" s="161">
        <v>2700</v>
      </c>
      <c r="O10" s="161">
        <v>2100</v>
      </c>
      <c r="P10" s="11">
        <f t="shared" si="0"/>
        <v>5.67</v>
      </c>
      <c r="Q10" s="13">
        <v>2.42</v>
      </c>
      <c r="R10" s="13"/>
      <c r="S10" s="13">
        <v>14.82</v>
      </c>
      <c r="T10" s="13">
        <v>2.5</v>
      </c>
      <c r="U10" s="11">
        <f t="shared" si="1"/>
        <v>26.959999999999994</v>
      </c>
      <c r="V10" s="13"/>
      <c r="W10" s="13"/>
      <c r="X10" s="13">
        <v>2</v>
      </c>
      <c r="Y10" s="12"/>
    </row>
    <row r="11" spans="1:25" x14ac:dyDescent="0.25">
      <c r="A11" s="151" t="s">
        <v>748</v>
      </c>
      <c r="B11" s="151" t="s">
        <v>5</v>
      </c>
      <c r="C11" s="147" t="s">
        <v>1268</v>
      </c>
      <c r="D11" s="151" t="s">
        <v>221</v>
      </c>
      <c r="E11" s="248">
        <v>14.4</v>
      </c>
      <c r="F11" s="151" t="s">
        <v>4</v>
      </c>
      <c r="G11" s="5" t="s">
        <v>77</v>
      </c>
      <c r="H11" s="181"/>
      <c r="I11" s="5"/>
      <c r="J11" s="5"/>
      <c r="K11" s="21" t="s">
        <v>2038</v>
      </c>
      <c r="L11" s="12" t="s">
        <v>10</v>
      </c>
      <c r="M11" s="12" t="s">
        <v>7</v>
      </c>
      <c r="N11" s="161">
        <v>900</v>
      </c>
      <c r="O11" s="161">
        <v>2100</v>
      </c>
      <c r="P11" s="11">
        <f t="shared" si="0"/>
        <v>1.89</v>
      </c>
      <c r="Q11" s="13">
        <v>2.42</v>
      </c>
      <c r="R11" s="13"/>
      <c r="S11" s="13">
        <v>14.47</v>
      </c>
      <c r="T11" s="13">
        <v>2.5</v>
      </c>
      <c r="U11" s="11">
        <f t="shared" si="1"/>
        <v>29.865000000000002</v>
      </c>
      <c r="V11" s="13"/>
      <c r="W11" s="13"/>
      <c r="X11" s="13">
        <v>2</v>
      </c>
      <c r="Y11" s="12"/>
    </row>
    <row r="12" spans="1:25" x14ac:dyDescent="0.25">
      <c r="A12" s="151" t="s">
        <v>748</v>
      </c>
      <c r="B12" s="151" t="s">
        <v>5</v>
      </c>
      <c r="C12" s="151" t="s">
        <v>1269</v>
      </c>
      <c r="D12" s="151" t="s">
        <v>221</v>
      </c>
      <c r="E12" s="248">
        <v>19.8</v>
      </c>
      <c r="F12" s="151" t="s">
        <v>4</v>
      </c>
      <c r="G12" s="5" t="s">
        <v>77</v>
      </c>
      <c r="H12" s="181"/>
      <c r="I12" s="5"/>
      <c r="J12" s="5"/>
      <c r="K12" s="21" t="s">
        <v>2038</v>
      </c>
      <c r="L12" s="12" t="s">
        <v>10</v>
      </c>
      <c r="M12" s="12" t="s">
        <v>7</v>
      </c>
      <c r="N12" s="161">
        <v>900</v>
      </c>
      <c r="O12" s="161">
        <v>2100</v>
      </c>
      <c r="P12" s="11">
        <f t="shared" si="0"/>
        <v>1.89</v>
      </c>
      <c r="Q12" s="13">
        <v>2.42</v>
      </c>
      <c r="R12" s="13"/>
      <c r="S12" s="13">
        <v>17.739999999999998</v>
      </c>
      <c r="T12" s="13">
        <v>2.5</v>
      </c>
      <c r="U12" s="11">
        <f t="shared" si="1"/>
        <v>38.039999999999992</v>
      </c>
      <c r="V12" s="13"/>
      <c r="W12" s="13"/>
      <c r="X12" s="13">
        <v>2</v>
      </c>
      <c r="Y12" s="12"/>
    </row>
    <row r="13" spans="1:25" x14ac:dyDescent="0.25">
      <c r="A13" s="151" t="s">
        <v>748</v>
      </c>
      <c r="B13" s="151" t="s">
        <v>5</v>
      </c>
      <c r="C13" s="151" t="s">
        <v>1270</v>
      </c>
      <c r="D13" s="151" t="s">
        <v>221</v>
      </c>
      <c r="E13" s="248">
        <v>19.8</v>
      </c>
      <c r="F13" s="151" t="s">
        <v>4</v>
      </c>
      <c r="G13" s="5" t="s">
        <v>77</v>
      </c>
      <c r="H13" s="181"/>
      <c r="I13" s="5"/>
      <c r="J13" s="5"/>
      <c r="K13" s="21" t="s">
        <v>2038</v>
      </c>
      <c r="L13" s="12" t="s">
        <v>10</v>
      </c>
      <c r="M13" s="12" t="s">
        <v>7</v>
      </c>
      <c r="N13" s="161">
        <v>900</v>
      </c>
      <c r="O13" s="161">
        <v>2100</v>
      </c>
      <c r="P13" s="11">
        <f t="shared" si="0"/>
        <v>1.89</v>
      </c>
      <c r="Q13" s="13">
        <v>2.42</v>
      </c>
      <c r="R13" s="13"/>
      <c r="S13" s="13">
        <v>17.739999999999998</v>
      </c>
      <c r="T13" s="13">
        <v>2.5</v>
      </c>
      <c r="U13" s="11">
        <f t="shared" si="1"/>
        <v>38.039999999999992</v>
      </c>
      <c r="V13" s="13"/>
      <c r="W13" s="13"/>
      <c r="X13" s="13">
        <v>2</v>
      </c>
      <c r="Y13" s="12"/>
    </row>
    <row r="14" spans="1:25" x14ac:dyDescent="0.25">
      <c r="A14" s="151" t="s">
        <v>748</v>
      </c>
      <c r="B14" s="151" t="s">
        <v>5</v>
      </c>
      <c r="C14" s="147" t="s">
        <v>1271</v>
      </c>
      <c r="D14" s="151" t="s">
        <v>221</v>
      </c>
      <c r="E14" s="248">
        <v>18</v>
      </c>
      <c r="F14" s="151" t="s">
        <v>4</v>
      </c>
      <c r="G14" s="5" t="s">
        <v>77</v>
      </c>
      <c r="H14" s="181"/>
      <c r="I14" s="5"/>
      <c r="J14" s="5"/>
      <c r="K14" s="21" t="s">
        <v>2038</v>
      </c>
      <c r="L14" s="12" t="s">
        <v>10</v>
      </c>
      <c r="M14" s="12" t="s">
        <v>7</v>
      </c>
      <c r="N14" s="161">
        <v>900</v>
      </c>
      <c r="O14" s="161">
        <v>2100</v>
      </c>
      <c r="P14" s="11">
        <f t="shared" si="0"/>
        <v>1.89</v>
      </c>
      <c r="Q14" s="13">
        <v>2.42</v>
      </c>
      <c r="R14" s="13"/>
      <c r="S14" s="13">
        <v>17</v>
      </c>
      <c r="T14" s="13">
        <v>2.5</v>
      </c>
      <c r="U14" s="11">
        <f t="shared" si="1"/>
        <v>36.19</v>
      </c>
      <c r="V14" s="13"/>
      <c r="W14" s="13"/>
      <c r="X14" s="13">
        <v>2</v>
      </c>
      <c r="Y14" s="12"/>
    </row>
    <row r="15" spans="1:25" x14ac:dyDescent="0.25">
      <c r="A15" s="151" t="s">
        <v>748</v>
      </c>
      <c r="B15" s="151" t="s">
        <v>5</v>
      </c>
      <c r="C15" s="151" t="s">
        <v>1272</v>
      </c>
      <c r="D15" s="151" t="s">
        <v>221</v>
      </c>
      <c r="E15" s="248">
        <v>18</v>
      </c>
      <c r="F15" s="151" t="s">
        <v>4</v>
      </c>
      <c r="G15" s="5" t="s">
        <v>77</v>
      </c>
      <c r="H15" s="181"/>
      <c r="I15" s="5"/>
      <c r="J15" s="5"/>
      <c r="K15" s="21" t="s">
        <v>2038</v>
      </c>
      <c r="L15" s="12" t="s">
        <v>10</v>
      </c>
      <c r="M15" s="12" t="s">
        <v>7</v>
      </c>
      <c r="N15" s="161">
        <v>900</v>
      </c>
      <c r="O15" s="161">
        <v>2100</v>
      </c>
      <c r="P15" s="11">
        <f t="shared" si="0"/>
        <v>1.89</v>
      </c>
      <c r="Q15" s="13">
        <v>2.42</v>
      </c>
      <c r="R15" s="13"/>
      <c r="S15" s="13">
        <v>17.07</v>
      </c>
      <c r="T15" s="13">
        <v>2.5</v>
      </c>
      <c r="U15" s="11">
        <f t="shared" si="1"/>
        <v>36.364999999999995</v>
      </c>
      <c r="V15" s="13"/>
      <c r="W15" s="13"/>
      <c r="X15" s="13">
        <v>2</v>
      </c>
      <c r="Y15" s="12"/>
    </row>
    <row r="16" spans="1:25" x14ac:dyDescent="0.25">
      <c r="A16" s="151" t="s">
        <v>748</v>
      </c>
      <c r="B16" s="151" t="s">
        <v>5</v>
      </c>
      <c r="C16" s="151" t="s">
        <v>1273</v>
      </c>
      <c r="D16" s="151" t="s">
        <v>221</v>
      </c>
      <c r="E16" s="248">
        <v>17.7</v>
      </c>
      <c r="F16" s="151" t="s">
        <v>4</v>
      </c>
      <c r="G16" s="5" t="s">
        <v>77</v>
      </c>
      <c r="H16" s="181"/>
      <c r="I16" s="5"/>
      <c r="J16" s="5"/>
      <c r="K16" s="21" t="s">
        <v>2038</v>
      </c>
      <c r="L16" s="12" t="s">
        <v>10</v>
      </c>
      <c r="M16" s="12" t="s">
        <v>7</v>
      </c>
      <c r="N16" s="161">
        <v>900</v>
      </c>
      <c r="O16" s="161">
        <v>2100</v>
      </c>
      <c r="P16" s="11">
        <f t="shared" si="0"/>
        <v>1.89</v>
      </c>
      <c r="Q16" s="13">
        <v>2.42</v>
      </c>
      <c r="R16" s="13"/>
      <c r="S16" s="13">
        <v>16.96</v>
      </c>
      <c r="T16" s="13">
        <v>2.5</v>
      </c>
      <c r="U16" s="11">
        <f t="shared" si="1"/>
        <v>36.090000000000003</v>
      </c>
      <c r="V16" s="13"/>
      <c r="W16" s="13"/>
      <c r="X16" s="13">
        <v>2</v>
      </c>
      <c r="Y16" s="12"/>
    </row>
    <row r="17" spans="1:25" x14ac:dyDescent="0.25">
      <c r="A17" s="151" t="s">
        <v>748</v>
      </c>
      <c r="B17" s="151" t="s">
        <v>5</v>
      </c>
      <c r="C17" s="147" t="s">
        <v>1274</v>
      </c>
      <c r="D17" s="151" t="s">
        <v>221</v>
      </c>
      <c r="E17" s="248">
        <v>17.7</v>
      </c>
      <c r="F17" s="151" t="s">
        <v>4</v>
      </c>
      <c r="G17" s="5" t="s">
        <v>77</v>
      </c>
      <c r="H17" s="181"/>
      <c r="I17" s="5"/>
      <c r="J17" s="5"/>
      <c r="K17" s="21" t="s">
        <v>2038</v>
      </c>
      <c r="L17" s="12" t="s">
        <v>10</v>
      </c>
      <c r="M17" s="12" t="s">
        <v>7</v>
      </c>
      <c r="N17" s="161">
        <v>900</v>
      </c>
      <c r="O17" s="161">
        <v>2100</v>
      </c>
      <c r="P17" s="11">
        <f t="shared" si="0"/>
        <v>1.89</v>
      </c>
      <c r="Q17" s="13">
        <v>2.42</v>
      </c>
      <c r="R17" s="13"/>
      <c r="S17" s="13">
        <v>16.96</v>
      </c>
      <c r="T17" s="13">
        <v>2.5</v>
      </c>
      <c r="U17" s="11">
        <f t="shared" si="1"/>
        <v>36.090000000000003</v>
      </c>
      <c r="V17" s="13"/>
      <c r="W17" s="13"/>
      <c r="X17" s="13">
        <v>2</v>
      </c>
      <c r="Y17" s="12"/>
    </row>
    <row r="18" spans="1:25" x14ac:dyDescent="0.25">
      <c r="A18" s="151" t="s">
        <v>748</v>
      </c>
      <c r="B18" s="151" t="s">
        <v>5</v>
      </c>
      <c r="C18" s="151" t="s">
        <v>1275</v>
      </c>
      <c r="D18" s="151" t="s">
        <v>1276</v>
      </c>
      <c r="E18" s="248">
        <v>27.4</v>
      </c>
      <c r="F18" s="151" t="s">
        <v>4</v>
      </c>
      <c r="G18" s="5" t="s">
        <v>77</v>
      </c>
      <c r="H18" s="181"/>
      <c r="I18" s="5"/>
      <c r="J18" s="5"/>
      <c r="K18" s="21" t="s">
        <v>2038</v>
      </c>
      <c r="L18" s="12" t="s">
        <v>10</v>
      </c>
      <c r="M18" s="12" t="s">
        <v>7</v>
      </c>
      <c r="N18" s="161">
        <v>900</v>
      </c>
      <c r="O18" s="161">
        <v>2100</v>
      </c>
      <c r="P18" s="11">
        <f t="shared" si="0"/>
        <v>1.89</v>
      </c>
      <c r="Q18" s="13">
        <v>2.42</v>
      </c>
      <c r="R18" s="13"/>
      <c r="S18" s="13">
        <v>21.11</v>
      </c>
      <c r="T18" s="13">
        <v>2.5</v>
      </c>
      <c r="U18" s="11">
        <f t="shared" si="1"/>
        <v>46.464999999999996</v>
      </c>
      <c r="V18" s="13"/>
      <c r="W18" s="13"/>
      <c r="X18" s="13">
        <v>2</v>
      </c>
      <c r="Y18" s="12"/>
    </row>
    <row r="19" spans="1:25" x14ac:dyDescent="0.25">
      <c r="A19" s="151" t="s">
        <v>748</v>
      </c>
      <c r="B19" s="151" t="s">
        <v>5</v>
      </c>
      <c r="C19" s="151" t="s">
        <v>1277</v>
      </c>
      <c r="D19" s="151" t="s">
        <v>221</v>
      </c>
      <c r="E19" s="248">
        <v>9.3000000000000007</v>
      </c>
      <c r="F19" s="151" t="s">
        <v>4</v>
      </c>
      <c r="G19" s="5" t="s">
        <v>77</v>
      </c>
      <c r="H19" s="181"/>
      <c r="I19" s="5"/>
      <c r="J19" s="5"/>
      <c r="K19" s="21" t="s">
        <v>2038</v>
      </c>
      <c r="L19" s="12" t="s">
        <v>10</v>
      </c>
      <c r="M19" s="12" t="s">
        <v>7</v>
      </c>
      <c r="N19" s="161">
        <v>900</v>
      </c>
      <c r="O19" s="161">
        <v>2100</v>
      </c>
      <c r="P19" s="11">
        <f t="shared" si="0"/>
        <v>1.89</v>
      </c>
      <c r="Q19" s="13">
        <v>2.42</v>
      </c>
      <c r="R19" s="13"/>
      <c r="S19" s="13">
        <v>12.22</v>
      </c>
      <c r="T19" s="13">
        <v>2.5</v>
      </c>
      <c r="U19" s="11">
        <f t="shared" si="1"/>
        <v>24.240000000000002</v>
      </c>
      <c r="V19" s="13"/>
      <c r="W19" s="13"/>
      <c r="X19" s="13">
        <v>2</v>
      </c>
      <c r="Y19" s="12"/>
    </row>
    <row r="20" spans="1:25" x14ac:dyDescent="0.25">
      <c r="A20" s="151" t="s">
        <v>748</v>
      </c>
      <c r="B20" s="151" t="s">
        <v>5</v>
      </c>
      <c r="C20" s="147" t="s">
        <v>1278</v>
      </c>
      <c r="D20" s="151" t="s">
        <v>221</v>
      </c>
      <c r="E20" s="248">
        <v>9.1999999999999993</v>
      </c>
      <c r="F20" s="151" t="s">
        <v>4</v>
      </c>
      <c r="G20" s="5" t="s">
        <v>77</v>
      </c>
      <c r="H20" s="181"/>
      <c r="I20" s="5"/>
      <c r="J20" s="5"/>
      <c r="K20" s="21" t="s">
        <v>2038</v>
      </c>
      <c r="L20" s="12" t="s">
        <v>10</v>
      </c>
      <c r="M20" s="12" t="s">
        <v>7</v>
      </c>
      <c r="N20" s="161">
        <v>900</v>
      </c>
      <c r="O20" s="161">
        <v>2100</v>
      </c>
      <c r="P20" s="11">
        <f t="shared" si="0"/>
        <v>1.89</v>
      </c>
      <c r="Q20" s="13">
        <v>2.42</v>
      </c>
      <c r="R20" s="13"/>
      <c r="S20" s="13">
        <v>12.2</v>
      </c>
      <c r="T20" s="13">
        <v>2.5</v>
      </c>
      <c r="U20" s="11">
        <f t="shared" si="1"/>
        <v>24.189999999999998</v>
      </c>
      <c r="V20" s="13"/>
      <c r="W20" s="13"/>
      <c r="X20" s="13">
        <v>2</v>
      </c>
      <c r="Y20" s="12"/>
    </row>
    <row r="21" spans="1:25" x14ac:dyDescent="0.25">
      <c r="A21" s="151" t="s">
        <v>748</v>
      </c>
      <c r="B21" s="151" t="s">
        <v>5</v>
      </c>
      <c r="C21" s="151" t="s">
        <v>1279</v>
      </c>
      <c r="D21" s="151" t="s">
        <v>221</v>
      </c>
      <c r="E21" s="248">
        <v>12.4</v>
      </c>
      <c r="F21" s="151" t="s">
        <v>4</v>
      </c>
      <c r="G21" s="5" t="s">
        <v>77</v>
      </c>
      <c r="H21" s="181"/>
      <c r="I21" s="5"/>
      <c r="J21" s="5"/>
      <c r="K21" s="21" t="s">
        <v>2038</v>
      </c>
      <c r="L21" s="12" t="s">
        <v>10</v>
      </c>
      <c r="M21" s="12" t="s">
        <v>7</v>
      </c>
      <c r="N21" s="161">
        <v>900</v>
      </c>
      <c r="O21" s="161">
        <v>2100</v>
      </c>
      <c r="P21" s="11">
        <f t="shared" si="0"/>
        <v>1.89</v>
      </c>
      <c r="Q21" s="13">
        <v>2.42</v>
      </c>
      <c r="R21" s="13"/>
      <c r="S21" s="13">
        <v>13.86</v>
      </c>
      <c r="T21" s="13">
        <v>2.5</v>
      </c>
      <c r="U21" s="11">
        <f t="shared" si="1"/>
        <v>28.339999999999996</v>
      </c>
      <c r="V21" s="13"/>
      <c r="W21" s="13"/>
      <c r="X21" s="13">
        <v>2</v>
      </c>
      <c r="Y21" s="12"/>
    </row>
    <row r="22" spans="1:25" x14ac:dyDescent="0.25">
      <c r="A22" s="151" t="s">
        <v>748</v>
      </c>
      <c r="B22" s="151" t="s">
        <v>5</v>
      </c>
      <c r="C22" s="151" t="s">
        <v>1280</v>
      </c>
      <c r="D22" s="151" t="s">
        <v>221</v>
      </c>
      <c r="E22" s="248">
        <v>11.9</v>
      </c>
      <c r="F22" s="151" t="s">
        <v>4</v>
      </c>
      <c r="G22" s="5" t="s">
        <v>77</v>
      </c>
      <c r="H22" s="181"/>
      <c r="I22" s="5"/>
      <c r="J22" s="5"/>
      <c r="K22" s="21" t="s">
        <v>2038</v>
      </c>
      <c r="L22" s="12" t="s">
        <v>10</v>
      </c>
      <c r="M22" s="12" t="s">
        <v>7</v>
      </c>
      <c r="N22" s="161">
        <v>900</v>
      </c>
      <c r="O22" s="161">
        <v>2100</v>
      </c>
      <c r="P22" s="11">
        <f t="shared" si="0"/>
        <v>1.89</v>
      </c>
      <c r="Q22" s="13">
        <v>2.42</v>
      </c>
      <c r="R22" s="13"/>
      <c r="S22" s="13">
        <v>14.19</v>
      </c>
      <c r="T22" s="13">
        <v>2.5</v>
      </c>
      <c r="U22" s="11">
        <f t="shared" si="1"/>
        <v>29.164999999999999</v>
      </c>
      <c r="V22" s="13"/>
      <c r="W22" s="13"/>
      <c r="X22" s="13">
        <v>2</v>
      </c>
      <c r="Y22" s="12"/>
    </row>
    <row r="23" spans="1:25" x14ac:dyDescent="0.25">
      <c r="A23" s="151" t="s">
        <v>748</v>
      </c>
      <c r="B23" s="151" t="s">
        <v>5</v>
      </c>
      <c r="C23" s="147" t="s">
        <v>1281</v>
      </c>
      <c r="D23" s="151" t="s">
        <v>221</v>
      </c>
      <c r="E23" s="248">
        <v>8.1999999999999993</v>
      </c>
      <c r="F23" s="151" t="s">
        <v>4</v>
      </c>
      <c r="G23" s="5" t="s">
        <v>77</v>
      </c>
      <c r="H23" s="181"/>
      <c r="I23" s="5"/>
      <c r="J23" s="5"/>
      <c r="K23" s="21" t="s">
        <v>2038</v>
      </c>
      <c r="L23" s="12" t="s">
        <v>10</v>
      </c>
      <c r="M23" s="12" t="s">
        <v>7</v>
      </c>
      <c r="N23" s="161">
        <v>900</v>
      </c>
      <c r="O23" s="161">
        <v>2100</v>
      </c>
      <c r="P23" s="11">
        <f t="shared" si="0"/>
        <v>1.89</v>
      </c>
      <c r="Q23" s="13">
        <v>2.42</v>
      </c>
      <c r="R23" s="13"/>
      <c r="S23" s="13">
        <v>11.76</v>
      </c>
      <c r="T23" s="13">
        <v>2.5</v>
      </c>
      <c r="U23" s="16">
        <f t="shared" si="1"/>
        <v>23.089999999999996</v>
      </c>
      <c r="V23" s="13"/>
      <c r="W23" s="13"/>
      <c r="X23" s="13">
        <v>2</v>
      </c>
      <c r="Y23" s="12"/>
    </row>
    <row r="24" spans="1:25" x14ac:dyDescent="0.25">
      <c r="A24" s="151" t="s">
        <v>748</v>
      </c>
      <c r="B24" s="151" t="s">
        <v>5</v>
      </c>
      <c r="C24" s="151" t="s">
        <v>1282</v>
      </c>
      <c r="D24" s="151" t="s">
        <v>65</v>
      </c>
      <c r="E24" s="248">
        <v>1.8</v>
      </c>
      <c r="F24" s="151" t="s">
        <v>4</v>
      </c>
      <c r="G24" s="5" t="s">
        <v>77</v>
      </c>
      <c r="H24" s="181"/>
      <c r="I24" s="5"/>
      <c r="J24" s="5"/>
      <c r="K24" s="21" t="s">
        <v>2038</v>
      </c>
      <c r="L24" s="12" t="s">
        <v>6</v>
      </c>
      <c r="M24" s="12" t="s">
        <v>7</v>
      </c>
      <c r="N24" s="161">
        <v>750</v>
      </c>
      <c r="O24" s="161">
        <v>2100</v>
      </c>
      <c r="P24" s="11">
        <f t="shared" si="0"/>
        <v>1.575</v>
      </c>
      <c r="Q24" s="13"/>
      <c r="R24" s="13"/>
      <c r="S24" s="13">
        <v>4.59</v>
      </c>
      <c r="T24" s="13">
        <v>2.5</v>
      </c>
      <c r="U24" s="13"/>
      <c r="V24" s="13"/>
      <c r="W24" s="13"/>
      <c r="X24" s="47">
        <f>S24*T24-P24</f>
        <v>9.9</v>
      </c>
      <c r="Y24" s="12"/>
    </row>
    <row r="25" spans="1:25" x14ac:dyDescent="0.25">
      <c r="A25" s="151" t="s">
        <v>748</v>
      </c>
      <c r="B25" s="151" t="s">
        <v>5</v>
      </c>
      <c r="C25" s="151" t="s">
        <v>1283</v>
      </c>
      <c r="D25" s="151" t="s">
        <v>233</v>
      </c>
      <c r="E25" s="248">
        <v>1.4</v>
      </c>
      <c r="F25" s="151" t="s">
        <v>4</v>
      </c>
      <c r="G25" s="5" t="s">
        <v>77</v>
      </c>
      <c r="H25" s="181"/>
      <c r="I25" s="5"/>
      <c r="J25" s="5"/>
      <c r="K25" s="21" t="s">
        <v>2038</v>
      </c>
      <c r="L25" s="12" t="s">
        <v>6</v>
      </c>
      <c r="M25" s="12" t="s">
        <v>7</v>
      </c>
      <c r="N25" s="161">
        <v>1500</v>
      </c>
      <c r="O25" s="161">
        <v>2100</v>
      </c>
      <c r="P25" s="11">
        <f t="shared" si="0"/>
        <v>3.15</v>
      </c>
      <c r="Q25" s="13"/>
      <c r="R25" s="13"/>
      <c r="S25" s="13">
        <v>5.0199999999999996</v>
      </c>
      <c r="T25" s="13">
        <v>2.5</v>
      </c>
      <c r="U25" s="13"/>
      <c r="V25" s="13"/>
      <c r="W25" s="13"/>
      <c r="X25" s="47">
        <f>S25*T25-P25</f>
        <v>9.3999999999999986</v>
      </c>
      <c r="Y25" s="12"/>
    </row>
    <row r="26" spans="1:25" x14ac:dyDescent="0.25">
      <c r="A26" s="151" t="s">
        <v>748</v>
      </c>
      <c r="B26" s="151" t="s">
        <v>5</v>
      </c>
      <c r="C26" s="147" t="s">
        <v>1284</v>
      </c>
      <c r="D26" s="151" t="s">
        <v>52</v>
      </c>
      <c r="E26" s="248">
        <v>1.3</v>
      </c>
      <c r="F26" s="151" t="s">
        <v>4</v>
      </c>
      <c r="G26" s="5" t="s">
        <v>77</v>
      </c>
      <c r="H26" s="181"/>
      <c r="I26" s="5"/>
      <c r="J26" s="5"/>
      <c r="K26" s="21" t="s">
        <v>2038</v>
      </c>
      <c r="L26" s="12" t="s">
        <v>6</v>
      </c>
      <c r="M26" s="12" t="s">
        <v>7</v>
      </c>
      <c r="N26" s="161">
        <v>1500</v>
      </c>
      <c r="O26" s="161">
        <v>2100</v>
      </c>
      <c r="P26" s="11">
        <f t="shared" si="0"/>
        <v>3.15</v>
      </c>
      <c r="Q26" s="13"/>
      <c r="R26" s="13"/>
      <c r="S26" s="13">
        <v>4.83</v>
      </c>
      <c r="T26" s="13">
        <v>2.5</v>
      </c>
      <c r="U26" s="13"/>
      <c r="V26" s="13"/>
      <c r="W26" s="13"/>
      <c r="X26" s="47">
        <f>S26*T26-P26</f>
        <v>8.9249999999999989</v>
      </c>
      <c r="Y26" s="12"/>
    </row>
    <row r="27" spans="1:25" x14ac:dyDescent="0.25">
      <c r="A27" s="151" t="s">
        <v>748</v>
      </c>
      <c r="B27" s="151" t="s">
        <v>5</v>
      </c>
      <c r="C27" s="151" t="s">
        <v>1285</v>
      </c>
      <c r="D27" s="151" t="s">
        <v>65</v>
      </c>
      <c r="E27" s="248">
        <v>1.3</v>
      </c>
      <c r="F27" s="151" t="s">
        <v>4</v>
      </c>
      <c r="G27" s="5" t="s">
        <v>77</v>
      </c>
      <c r="H27" s="181"/>
      <c r="I27" s="5"/>
      <c r="J27" s="5"/>
      <c r="K27" s="21" t="s">
        <v>2038</v>
      </c>
      <c r="L27" s="12" t="s">
        <v>6</v>
      </c>
      <c r="M27" s="12" t="s">
        <v>7</v>
      </c>
      <c r="N27" s="161">
        <v>750</v>
      </c>
      <c r="O27" s="161">
        <v>2100</v>
      </c>
      <c r="P27" s="11">
        <f t="shared" si="0"/>
        <v>1.575</v>
      </c>
      <c r="Q27" s="13"/>
      <c r="R27" s="13"/>
      <c r="S27" s="13">
        <v>4.8</v>
      </c>
      <c r="T27" s="13">
        <v>2.5</v>
      </c>
      <c r="U27" s="13"/>
      <c r="V27" s="13"/>
      <c r="W27" s="13"/>
      <c r="X27" s="47">
        <f>S27*T27-P27</f>
        <v>10.425000000000001</v>
      </c>
      <c r="Y27" s="12"/>
    </row>
    <row r="28" spans="1:25" x14ac:dyDescent="0.25">
      <c r="A28" s="151" t="s">
        <v>748</v>
      </c>
      <c r="B28" s="151" t="s">
        <v>5</v>
      </c>
      <c r="C28" s="151" t="s">
        <v>1286</v>
      </c>
      <c r="D28" s="151" t="s">
        <v>46</v>
      </c>
      <c r="E28" s="248">
        <v>1.3</v>
      </c>
      <c r="F28" s="151" t="s">
        <v>4</v>
      </c>
      <c r="G28" s="5" t="s">
        <v>77</v>
      </c>
      <c r="H28" s="181"/>
      <c r="I28" s="5"/>
      <c r="J28" s="5"/>
      <c r="K28" s="21" t="s">
        <v>2038</v>
      </c>
      <c r="L28" s="12" t="s">
        <v>6</v>
      </c>
      <c r="M28" s="12" t="s">
        <v>7</v>
      </c>
      <c r="N28" s="161">
        <v>1500</v>
      </c>
      <c r="O28" s="161">
        <v>2100</v>
      </c>
      <c r="P28" s="11">
        <f t="shared" si="0"/>
        <v>3.15</v>
      </c>
      <c r="Q28" s="13"/>
      <c r="R28" s="13"/>
      <c r="S28" s="13">
        <v>5</v>
      </c>
      <c r="T28" s="13">
        <v>2.5</v>
      </c>
      <c r="U28" s="13"/>
      <c r="V28" s="13"/>
      <c r="W28" s="13"/>
      <c r="X28" s="47">
        <f>S28*T28-P28</f>
        <v>9.35</v>
      </c>
      <c r="Y28" s="12"/>
    </row>
    <row r="29" spans="1:25" x14ac:dyDescent="0.25">
      <c r="A29" s="151" t="s">
        <v>748</v>
      </c>
      <c r="B29" s="151" t="s">
        <v>5</v>
      </c>
      <c r="C29" s="147" t="s">
        <v>1287</v>
      </c>
      <c r="D29" s="151" t="s">
        <v>80</v>
      </c>
      <c r="E29" s="248">
        <v>3.5</v>
      </c>
      <c r="F29" s="151" t="s">
        <v>4</v>
      </c>
      <c r="G29" s="5" t="s">
        <v>77</v>
      </c>
      <c r="H29" s="181"/>
      <c r="I29" s="5"/>
      <c r="J29" s="5"/>
      <c r="K29" s="21" t="s">
        <v>2038</v>
      </c>
      <c r="L29" s="12" t="s">
        <v>6</v>
      </c>
      <c r="M29" s="12" t="s">
        <v>7</v>
      </c>
      <c r="N29" s="161">
        <v>750</v>
      </c>
      <c r="O29" s="161">
        <v>2100</v>
      </c>
      <c r="P29" s="11">
        <f t="shared" si="0"/>
        <v>1.575</v>
      </c>
      <c r="Q29" s="13"/>
      <c r="R29" s="13"/>
      <c r="S29" s="13">
        <v>8.5500000000000007</v>
      </c>
      <c r="T29" s="13">
        <v>2.5</v>
      </c>
      <c r="U29" s="11">
        <f>S29*T29-P29-Q29-X29-Y29</f>
        <v>19.8</v>
      </c>
      <c r="V29" s="13"/>
      <c r="W29" s="13"/>
      <c r="X29" s="13"/>
      <c r="Y29" s="12"/>
    </row>
    <row r="30" spans="1:25" x14ac:dyDescent="0.25">
      <c r="A30" s="151" t="s">
        <v>748</v>
      </c>
      <c r="B30" s="151" t="s">
        <v>5</v>
      </c>
      <c r="C30" s="151" t="s">
        <v>1288</v>
      </c>
      <c r="D30" s="151" t="s">
        <v>221</v>
      </c>
      <c r="E30" s="248">
        <v>16.100000000000001</v>
      </c>
      <c r="F30" s="151" t="s">
        <v>4</v>
      </c>
      <c r="G30" s="5" t="s">
        <v>77</v>
      </c>
      <c r="H30" s="181"/>
      <c r="I30" s="5"/>
      <c r="J30" s="5"/>
      <c r="K30" s="21" t="s">
        <v>2038</v>
      </c>
      <c r="L30" s="12" t="s">
        <v>10</v>
      </c>
      <c r="M30" s="12" t="s">
        <v>7</v>
      </c>
      <c r="N30" s="161">
        <v>900</v>
      </c>
      <c r="O30" s="161">
        <v>2100</v>
      </c>
      <c r="P30" s="11">
        <f t="shared" si="0"/>
        <v>1.89</v>
      </c>
      <c r="Q30" s="13">
        <v>2.42</v>
      </c>
      <c r="R30" s="13"/>
      <c r="S30" s="13">
        <v>18.239999999999998</v>
      </c>
      <c r="T30" s="13">
        <v>2.5</v>
      </c>
      <c r="U30" s="11">
        <f>S30*T30-P30-Q30-X30-Y30</f>
        <v>41.289999999999992</v>
      </c>
      <c r="V30" s="13"/>
      <c r="W30" s="13"/>
      <c r="X30" s="13"/>
      <c r="Y30" s="12"/>
    </row>
    <row r="31" spans="1:25" x14ac:dyDescent="0.25">
      <c r="A31" s="151" t="s">
        <v>748</v>
      </c>
      <c r="B31" s="151" t="s">
        <v>5</v>
      </c>
      <c r="C31" s="151" t="s">
        <v>1289</v>
      </c>
      <c r="D31" s="151" t="s">
        <v>151</v>
      </c>
      <c r="E31" s="248">
        <v>4.5</v>
      </c>
      <c r="F31" s="151" t="s">
        <v>4</v>
      </c>
      <c r="G31" s="5" t="s">
        <v>77</v>
      </c>
      <c r="H31" s="181"/>
      <c r="I31" s="5"/>
      <c r="J31" s="5"/>
      <c r="K31" s="21" t="s">
        <v>2038</v>
      </c>
      <c r="L31" s="12" t="s">
        <v>6</v>
      </c>
      <c r="M31" s="12" t="s">
        <v>7</v>
      </c>
      <c r="N31" s="161">
        <v>750</v>
      </c>
      <c r="O31" s="161">
        <v>2100</v>
      </c>
      <c r="P31" s="11">
        <f t="shared" si="0"/>
        <v>1.575</v>
      </c>
      <c r="Q31" s="13"/>
      <c r="R31" s="13"/>
      <c r="S31" s="13">
        <v>9.6199999999999992</v>
      </c>
      <c r="T31" s="13">
        <v>2.5</v>
      </c>
      <c r="U31" s="11">
        <f>S31*T31-P31-Q31-X31-Y31</f>
        <v>19.974999999999998</v>
      </c>
      <c r="V31" s="13"/>
      <c r="W31" s="13"/>
      <c r="X31" s="13">
        <v>2.5</v>
      </c>
      <c r="Y31" s="12"/>
    </row>
    <row r="32" spans="1:25" ht="17.25" x14ac:dyDescent="0.25">
      <c r="C32" s="280" t="s">
        <v>274</v>
      </c>
      <c r="D32" s="284"/>
      <c r="E32" s="286">
        <f>SUM(E5:E31)</f>
        <v>344.7</v>
      </c>
      <c r="F32" s="284" t="s">
        <v>1560</v>
      </c>
    </row>
    <row r="34" spans="3:6" x14ac:dyDescent="0.25">
      <c r="C34" s="278" t="s">
        <v>1807</v>
      </c>
      <c r="D34" s="342"/>
      <c r="E34" s="358"/>
      <c r="F34" s="65"/>
    </row>
    <row r="35" spans="3:6" ht="17.25" x14ac:dyDescent="0.25">
      <c r="C35" s="65"/>
      <c r="D35" s="358" t="s">
        <v>1808</v>
      </c>
      <c r="E35" s="345">
        <f>E5</f>
        <v>1.8</v>
      </c>
      <c r="F35" s="342" t="s">
        <v>1560</v>
      </c>
    </row>
    <row r="36" spans="3:6" ht="17.25" x14ac:dyDescent="0.25">
      <c r="C36" s="65"/>
      <c r="D36" s="358" t="s">
        <v>37</v>
      </c>
      <c r="E36" s="345">
        <v>0</v>
      </c>
      <c r="F36" s="342" t="s">
        <v>1560</v>
      </c>
    </row>
    <row r="37" spans="3:6" ht="17.25" x14ac:dyDescent="0.25">
      <c r="C37" s="65"/>
      <c r="D37" s="358" t="s">
        <v>77</v>
      </c>
      <c r="E37" s="345">
        <f>SUM(E6:E31)</f>
        <v>342.9</v>
      </c>
      <c r="F37" s="342" t="s">
        <v>1560</v>
      </c>
    </row>
    <row r="38" spans="3:6" ht="17.25" x14ac:dyDescent="0.25">
      <c r="C38" s="65"/>
      <c r="D38" s="358" t="s">
        <v>229</v>
      </c>
      <c r="E38" s="345">
        <v>0</v>
      </c>
      <c r="F38" s="342" t="s">
        <v>1560</v>
      </c>
    </row>
    <row r="39" spans="3:6" ht="17.25" x14ac:dyDescent="0.25">
      <c r="C39" s="65"/>
      <c r="D39" s="359" t="s">
        <v>274</v>
      </c>
      <c r="E39" s="345">
        <f>SUM(E35:E38)</f>
        <v>344.7</v>
      </c>
      <c r="F39" s="342" t="s">
        <v>1560</v>
      </c>
    </row>
    <row r="41" spans="3:6" x14ac:dyDescent="0.25">
      <c r="C41" s="284" t="s">
        <v>1989</v>
      </c>
      <c r="D41" s="284"/>
      <c r="E41" s="295"/>
    </row>
    <row r="42" spans="3:6" x14ac:dyDescent="0.25">
      <c r="C42" s="504" t="s">
        <v>1968</v>
      </c>
      <c r="D42" s="305"/>
      <c r="E42" s="503" t="s">
        <v>1987</v>
      </c>
    </row>
    <row r="43" spans="3:6" x14ac:dyDescent="0.25">
      <c r="C43" s="284" t="s">
        <v>2005</v>
      </c>
      <c r="D43" s="305"/>
    </row>
    <row r="44" spans="3:6" x14ac:dyDescent="0.25">
      <c r="C44" s="284" t="s">
        <v>2080</v>
      </c>
      <c r="D44" s="305"/>
    </row>
  </sheetData>
  <sheetProtection password="87E5" sheet="1" objects="1" scenarios="1"/>
  <mergeCells count="26">
    <mergeCell ref="M1:O4"/>
    <mergeCell ref="P1:P4"/>
    <mergeCell ref="Q1:Q4"/>
    <mergeCell ref="R1:R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  <mergeCell ref="A1:F2"/>
    <mergeCell ref="A3:A4"/>
    <mergeCell ref="B3:B4"/>
    <mergeCell ref="C3:C4"/>
    <mergeCell ref="D3:D4"/>
    <mergeCell ref="E3:F4"/>
    <mergeCell ref="G1:G4"/>
    <mergeCell ref="I1:I4"/>
    <mergeCell ref="J1:J4"/>
    <mergeCell ref="K1:K4"/>
    <mergeCell ref="L1:L4"/>
    <mergeCell ref="H1:H4"/>
  </mergeCells>
  <dataValidations count="1">
    <dataValidation type="list" allowBlank="1" showInputMessage="1" showErrorMessage="1" sqref="G5:G31">
      <formula1>kat</formula1>
    </dataValidation>
  </dataValidation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0"/>
  <sheetViews>
    <sheetView zoomScale="80" zoomScaleNormal="80" workbookViewId="0">
      <pane xSplit="7" ySplit="4" topLeftCell="H133" activePane="bottomRight" state="frozen"/>
      <selection pane="topRight" activeCell="H1" sqref="H1"/>
      <selection pane="bottomLeft" activeCell="A5" sqref="A5"/>
      <selection pane="bottomRight" activeCell="E141" sqref="E141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16.5703125" style="64" customWidth="1"/>
    <col min="5" max="5" width="8.7109375" style="171" bestFit="1" customWidth="1"/>
    <col min="6" max="6" width="3.85546875" bestFit="1" customWidth="1"/>
    <col min="7" max="7" width="13.7109375" customWidth="1"/>
    <col min="8" max="8" width="14.85546875" customWidth="1"/>
    <col min="9" max="9" width="10.28515625" customWidth="1"/>
    <col min="10" max="10" width="10.140625" customWidth="1"/>
    <col min="11" max="11" width="28" customWidth="1"/>
    <col min="12" max="12" width="10.5703125" style="64" customWidth="1"/>
    <col min="13" max="13" width="9.140625" customWidth="1"/>
    <col min="14" max="15" width="9.140625" style="250" customWidth="1"/>
    <col min="16" max="16" width="7.28515625" style="250" customWidth="1"/>
    <col min="17" max="17" width="7.5703125" style="250" customWidth="1"/>
    <col min="18" max="18" width="9.140625" style="250" customWidth="1"/>
    <col min="19" max="19" width="8" style="250" customWidth="1"/>
    <col min="20" max="20" width="7.28515625" style="250" customWidth="1"/>
    <col min="21" max="21" width="7.85546875" style="250" customWidth="1"/>
    <col min="22" max="22" width="7.140625" style="250" customWidth="1"/>
    <col min="23" max="23" width="7.28515625" style="250" customWidth="1"/>
    <col min="24" max="24" width="8.140625" style="250" customWidth="1"/>
    <col min="25" max="25" width="9.140625" style="250" customWidth="1"/>
  </cols>
  <sheetData>
    <row r="1" spans="1:25" s="15" customFormat="1" ht="15" customHeight="1" x14ac:dyDescent="0.25">
      <c r="A1" s="642" t="s">
        <v>1437</v>
      </c>
      <c r="B1" s="643"/>
      <c r="C1" s="643"/>
      <c r="D1" s="643"/>
      <c r="E1" s="643"/>
      <c r="F1" s="643"/>
      <c r="G1" s="621" t="s">
        <v>112</v>
      </c>
      <c r="H1" s="639" t="s">
        <v>2004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1.5" customHeight="1" x14ac:dyDescent="0.25">
      <c r="A3" s="660" t="s">
        <v>129</v>
      </c>
      <c r="B3" s="662" t="s">
        <v>130</v>
      </c>
      <c r="C3" s="662" t="s">
        <v>131</v>
      </c>
      <c r="D3" s="625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52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ht="30" x14ac:dyDescent="0.25">
      <c r="A5" s="225" t="s">
        <v>1290</v>
      </c>
      <c r="B5" s="225" t="s">
        <v>361</v>
      </c>
      <c r="C5" s="225" t="s">
        <v>1291</v>
      </c>
      <c r="D5" s="81" t="s">
        <v>148</v>
      </c>
      <c r="E5" s="228">
        <v>21.2</v>
      </c>
      <c r="F5" s="225" t="s">
        <v>4</v>
      </c>
      <c r="G5" s="21" t="s">
        <v>437</v>
      </c>
      <c r="H5" s="181"/>
      <c r="I5" s="255"/>
      <c r="J5" s="21"/>
      <c r="K5" s="255" t="s">
        <v>2045</v>
      </c>
      <c r="L5" s="90" t="s">
        <v>10</v>
      </c>
      <c r="M5" s="219" t="s">
        <v>7</v>
      </c>
      <c r="N5" s="320">
        <v>5225</v>
      </c>
      <c r="O5" s="320">
        <v>2125</v>
      </c>
      <c r="P5" s="11">
        <f t="shared" ref="P5:P68" si="0">N5*O5*0.000001</f>
        <v>11.103125</v>
      </c>
      <c r="Q5" s="25">
        <v>2.4</v>
      </c>
      <c r="R5" s="25"/>
      <c r="S5" s="26">
        <v>19.03</v>
      </c>
      <c r="T5" s="26">
        <v>2.7</v>
      </c>
      <c r="U5" s="11"/>
      <c r="V5" s="26">
        <f>S5*T5-P5-Q5-Y5-X5</f>
        <v>35.87787500000001</v>
      </c>
      <c r="W5" s="26"/>
      <c r="X5" s="26">
        <v>2</v>
      </c>
      <c r="Y5" s="25"/>
    </row>
    <row r="6" spans="1:25" ht="30" x14ac:dyDescent="0.25">
      <c r="A6" s="145" t="s">
        <v>1290</v>
      </c>
      <c r="B6" s="145" t="s">
        <v>361</v>
      </c>
      <c r="C6" s="145" t="s">
        <v>1292</v>
      </c>
      <c r="D6" s="100" t="s">
        <v>1293</v>
      </c>
      <c r="E6" s="168">
        <v>5.8</v>
      </c>
      <c r="F6" s="145" t="s">
        <v>4</v>
      </c>
      <c r="G6" s="5" t="s">
        <v>437</v>
      </c>
      <c r="H6" s="181"/>
      <c r="I6" s="255"/>
      <c r="J6" s="21"/>
      <c r="K6" s="255" t="s">
        <v>2045</v>
      </c>
      <c r="L6" s="95" t="s">
        <v>81</v>
      </c>
      <c r="M6" s="179" t="s">
        <v>7</v>
      </c>
      <c r="N6" s="161">
        <v>1125</v>
      </c>
      <c r="O6" s="161">
        <v>2125</v>
      </c>
      <c r="P6" s="11">
        <f t="shared" si="0"/>
        <v>2.390625</v>
      </c>
      <c r="Q6" s="13"/>
      <c r="R6" s="13"/>
      <c r="S6" s="47">
        <v>10.37</v>
      </c>
      <c r="T6" s="47">
        <v>2.7</v>
      </c>
      <c r="U6" s="47"/>
      <c r="V6" s="47"/>
      <c r="W6" s="47"/>
      <c r="X6" s="47">
        <f>S6*T6-P6</f>
        <v>25.608374999999999</v>
      </c>
      <c r="Y6" s="13"/>
    </row>
    <row r="7" spans="1:25" ht="30" x14ac:dyDescent="0.25">
      <c r="A7" s="145" t="s">
        <v>1290</v>
      </c>
      <c r="B7" s="145" t="s">
        <v>361</v>
      </c>
      <c r="C7" s="145" t="s">
        <v>1294</v>
      </c>
      <c r="D7" s="100" t="s">
        <v>258</v>
      </c>
      <c r="E7" s="168">
        <v>108.8</v>
      </c>
      <c r="F7" s="145" t="s">
        <v>4</v>
      </c>
      <c r="G7" s="5" t="s">
        <v>437</v>
      </c>
      <c r="H7" s="181"/>
      <c r="I7" s="255"/>
      <c r="J7" s="21"/>
      <c r="K7" s="255" t="s">
        <v>2045</v>
      </c>
      <c r="L7" s="95" t="s">
        <v>583</v>
      </c>
      <c r="M7" s="179" t="s">
        <v>1777</v>
      </c>
      <c r="N7" s="161">
        <v>29350</v>
      </c>
      <c r="O7" s="161">
        <v>2125</v>
      </c>
      <c r="P7" s="11">
        <f t="shared" si="0"/>
        <v>62.368749999999999</v>
      </c>
      <c r="Q7" s="13">
        <v>17.25</v>
      </c>
      <c r="R7" s="13"/>
      <c r="S7" s="47">
        <v>81.36</v>
      </c>
      <c r="T7" s="47">
        <v>2.7</v>
      </c>
      <c r="U7" s="11">
        <f>S7*T7-P7-Q7-Y7-X7</f>
        <v>140.05325000000002</v>
      </c>
      <c r="V7" s="47"/>
      <c r="W7" s="47"/>
      <c r="X7" s="47"/>
      <c r="Y7" s="13"/>
    </row>
    <row r="8" spans="1:25" ht="30" x14ac:dyDescent="0.25">
      <c r="A8" s="145" t="s">
        <v>1290</v>
      </c>
      <c r="B8" s="145" t="s">
        <v>361</v>
      </c>
      <c r="C8" s="145" t="s">
        <v>1295</v>
      </c>
      <c r="D8" s="100" t="s">
        <v>362</v>
      </c>
      <c r="E8" s="168">
        <v>9.8000000000000007</v>
      </c>
      <c r="F8" s="145" t="s">
        <v>4</v>
      </c>
      <c r="G8" s="5" t="s">
        <v>437</v>
      </c>
      <c r="H8" s="181"/>
      <c r="I8" s="255"/>
      <c r="J8" s="21"/>
      <c r="K8" s="255" t="s">
        <v>2045</v>
      </c>
      <c r="L8" s="95" t="s">
        <v>6</v>
      </c>
      <c r="M8" s="179" t="s">
        <v>7</v>
      </c>
      <c r="N8" s="161">
        <v>3900</v>
      </c>
      <c r="O8" s="161">
        <v>2125</v>
      </c>
      <c r="P8" s="11">
        <f t="shared" si="0"/>
        <v>8.2874999999999996</v>
      </c>
      <c r="Q8" s="13">
        <v>3.45</v>
      </c>
      <c r="R8" s="13"/>
      <c r="S8" s="47">
        <v>12.8</v>
      </c>
      <c r="T8" s="47">
        <v>2.7</v>
      </c>
      <c r="U8" s="11">
        <f>S8*T8-P8-Q8-Y8-X8</f>
        <v>12.672499999999999</v>
      </c>
      <c r="V8" s="47"/>
      <c r="W8" s="47"/>
      <c r="X8" s="47">
        <v>5.53</v>
      </c>
      <c r="Y8" s="13">
        <v>4.62</v>
      </c>
    </row>
    <row r="9" spans="1:25" ht="30" x14ac:dyDescent="0.25">
      <c r="A9" s="145" t="s">
        <v>1290</v>
      </c>
      <c r="B9" s="145" t="s">
        <v>361</v>
      </c>
      <c r="C9" s="145" t="s">
        <v>1296</v>
      </c>
      <c r="D9" s="100" t="s">
        <v>1297</v>
      </c>
      <c r="E9" s="168">
        <v>22.6</v>
      </c>
      <c r="F9" s="145" t="s">
        <v>4</v>
      </c>
      <c r="G9" s="5" t="s">
        <v>437</v>
      </c>
      <c r="H9" s="181"/>
      <c r="I9" s="255"/>
      <c r="J9" s="21"/>
      <c r="K9" s="255" t="s">
        <v>2045</v>
      </c>
      <c r="L9" s="95" t="s">
        <v>583</v>
      </c>
      <c r="M9" s="179" t="s">
        <v>7</v>
      </c>
      <c r="N9" s="161">
        <v>1100</v>
      </c>
      <c r="O9" s="161">
        <v>2125</v>
      </c>
      <c r="P9" s="11">
        <f t="shared" si="0"/>
        <v>2.3374999999999999</v>
      </c>
      <c r="Q9" s="13"/>
      <c r="R9" s="13"/>
      <c r="S9" s="47">
        <v>23.11</v>
      </c>
      <c r="T9" s="47">
        <v>3</v>
      </c>
      <c r="U9" s="47"/>
      <c r="V9" s="47">
        <f>S9*T9</f>
        <v>69.33</v>
      </c>
      <c r="W9" s="47"/>
      <c r="X9" s="47"/>
      <c r="Y9" s="13"/>
    </row>
    <row r="10" spans="1:25" ht="30" x14ac:dyDescent="0.25">
      <c r="A10" s="145" t="s">
        <v>1290</v>
      </c>
      <c r="B10" s="145" t="s">
        <v>361</v>
      </c>
      <c r="C10" s="145" t="s">
        <v>1298</v>
      </c>
      <c r="D10" s="100" t="s">
        <v>1297</v>
      </c>
      <c r="E10" s="168">
        <v>43.2</v>
      </c>
      <c r="F10" s="145" t="s">
        <v>4</v>
      </c>
      <c r="G10" s="5" t="s">
        <v>437</v>
      </c>
      <c r="H10" s="181"/>
      <c r="I10" s="255"/>
      <c r="J10" s="21"/>
      <c r="K10" s="255" t="s">
        <v>2045</v>
      </c>
      <c r="L10" s="95" t="s">
        <v>583</v>
      </c>
      <c r="M10" s="179" t="s">
        <v>1777</v>
      </c>
      <c r="N10" s="161">
        <v>4200</v>
      </c>
      <c r="O10" s="161">
        <v>2125</v>
      </c>
      <c r="P10" s="11">
        <f t="shared" si="0"/>
        <v>8.9249999999999989</v>
      </c>
      <c r="Q10" s="13">
        <v>18.809999999999999</v>
      </c>
      <c r="R10" s="13"/>
      <c r="S10" s="47">
        <v>38.85</v>
      </c>
      <c r="T10" s="47">
        <v>3</v>
      </c>
      <c r="U10" s="47"/>
      <c r="V10" s="47">
        <f t="shared" ref="V10:V32" si="1">S10*T10-P10-Q10-Y10-X10</f>
        <v>79.915000000000006</v>
      </c>
      <c r="W10" s="47"/>
      <c r="X10" s="47">
        <v>2</v>
      </c>
      <c r="Y10" s="13">
        <v>6.9</v>
      </c>
    </row>
    <row r="11" spans="1:25" ht="30" x14ac:dyDescent="0.25">
      <c r="A11" s="145" t="s">
        <v>1290</v>
      </c>
      <c r="B11" s="145" t="s">
        <v>361</v>
      </c>
      <c r="C11" s="145" t="s">
        <v>1299</v>
      </c>
      <c r="D11" s="100" t="s">
        <v>372</v>
      </c>
      <c r="E11" s="168">
        <v>9</v>
      </c>
      <c r="F11" s="145" t="s">
        <v>4</v>
      </c>
      <c r="G11" s="5" t="s">
        <v>437</v>
      </c>
      <c r="H11" s="181"/>
      <c r="I11" s="255"/>
      <c r="J11" s="21"/>
      <c r="K11" s="255" t="s">
        <v>2045</v>
      </c>
      <c r="L11" s="95" t="s">
        <v>583</v>
      </c>
      <c r="M11" s="12"/>
      <c r="N11" s="161"/>
      <c r="O11" s="161"/>
      <c r="P11" s="11">
        <f t="shared" si="0"/>
        <v>0</v>
      </c>
      <c r="Q11" s="13">
        <v>3.45</v>
      </c>
      <c r="R11" s="13"/>
      <c r="S11" s="47">
        <v>12.46</v>
      </c>
      <c r="T11" s="47">
        <v>3</v>
      </c>
      <c r="U11" s="47"/>
      <c r="V11" s="47">
        <f t="shared" si="1"/>
        <v>31.93</v>
      </c>
      <c r="W11" s="47"/>
      <c r="X11" s="47">
        <v>2</v>
      </c>
      <c r="Y11" s="13"/>
    </row>
    <row r="12" spans="1:25" ht="30" x14ac:dyDescent="0.25">
      <c r="A12" s="145" t="s">
        <v>1290</v>
      </c>
      <c r="B12" s="145" t="s">
        <v>361</v>
      </c>
      <c r="C12" s="145" t="s">
        <v>1300</v>
      </c>
      <c r="D12" s="100" t="s">
        <v>688</v>
      </c>
      <c r="E12" s="168">
        <v>12.2</v>
      </c>
      <c r="F12" s="145" t="s">
        <v>4</v>
      </c>
      <c r="G12" s="5" t="s">
        <v>437</v>
      </c>
      <c r="H12" s="181"/>
      <c r="I12" s="255"/>
      <c r="J12" s="21"/>
      <c r="K12" s="255" t="s">
        <v>2045</v>
      </c>
      <c r="L12" s="95" t="s">
        <v>583</v>
      </c>
      <c r="M12" s="12"/>
      <c r="N12" s="161"/>
      <c r="O12" s="161"/>
      <c r="P12" s="11">
        <f t="shared" si="0"/>
        <v>0</v>
      </c>
      <c r="Q12" s="13">
        <v>3.45</v>
      </c>
      <c r="R12" s="13"/>
      <c r="S12" s="47">
        <v>14.06</v>
      </c>
      <c r="T12" s="47">
        <v>3</v>
      </c>
      <c r="U12" s="47"/>
      <c r="V12" s="47">
        <f t="shared" si="1"/>
        <v>36.729999999999997</v>
      </c>
      <c r="W12" s="47"/>
      <c r="X12" s="47">
        <v>2</v>
      </c>
      <c r="Y12" s="13"/>
    </row>
    <row r="13" spans="1:25" ht="30" x14ac:dyDescent="0.25">
      <c r="A13" s="145" t="s">
        <v>1290</v>
      </c>
      <c r="B13" s="145" t="s">
        <v>361</v>
      </c>
      <c r="C13" s="145" t="s">
        <v>1301</v>
      </c>
      <c r="D13" s="100" t="s">
        <v>664</v>
      </c>
      <c r="E13" s="168">
        <v>11.8</v>
      </c>
      <c r="F13" s="145" t="s">
        <v>4</v>
      </c>
      <c r="G13" s="5" t="s">
        <v>437</v>
      </c>
      <c r="H13" s="181"/>
      <c r="I13" s="255"/>
      <c r="J13" s="21"/>
      <c r="K13" s="255" t="s">
        <v>2045</v>
      </c>
      <c r="L13" s="95" t="s">
        <v>583</v>
      </c>
      <c r="M13" s="12"/>
      <c r="N13" s="161"/>
      <c r="O13" s="161"/>
      <c r="P13" s="11">
        <f t="shared" si="0"/>
        <v>0</v>
      </c>
      <c r="Q13" s="13">
        <v>3.45</v>
      </c>
      <c r="R13" s="13"/>
      <c r="S13" s="47">
        <v>14.09</v>
      </c>
      <c r="T13" s="47">
        <v>3</v>
      </c>
      <c r="U13" s="47"/>
      <c r="V13" s="47">
        <f t="shared" si="1"/>
        <v>36.819999999999993</v>
      </c>
      <c r="W13" s="47"/>
      <c r="X13" s="47">
        <v>2</v>
      </c>
      <c r="Y13" s="13"/>
    </row>
    <row r="14" spans="1:25" ht="30" x14ac:dyDescent="0.25">
      <c r="A14" s="145" t="s">
        <v>1290</v>
      </c>
      <c r="B14" s="145" t="s">
        <v>361</v>
      </c>
      <c r="C14" s="145" t="s">
        <v>1302</v>
      </c>
      <c r="D14" s="100" t="s">
        <v>1303</v>
      </c>
      <c r="E14" s="168">
        <v>13.8</v>
      </c>
      <c r="F14" s="145" t="s">
        <v>4</v>
      </c>
      <c r="G14" s="5" t="s">
        <v>437</v>
      </c>
      <c r="H14" s="181"/>
      <c r="I14" s="251"/>
      <c r="J14" s="5"/>
      <c r="K14" s="255" t="s">
        <v>2045</v>
      </c>
      <c r="L14" s="95" t="s">
        <v>10</v>
      </c>
      <c r="M14" s="179" t="s">
        <v>1777</v>
      </c>
      <c r="N14" s="161">
        <v>3375</v>
      </c>
      <c r="O14" s="161">
        <v>2125</v>
      </c>
      <c r="P14" s="11">
        <f t="shared" si="0"/>
        <v>7.171875</v>
      </c>
      <c r="Q14" s="13"/>
      <c r="R14" s="13"/>
      <c r="S14" s="47">
        <v>16.38</v>
      </c>
      <c r="T14" s="47">
        <v>3</v>
      </c>
      <c r="U14" s="47"/>
      <c r="V14" s="47">
        <f t="shared" si="1"/>
        <v>39.968125000000001</v>
      </c>
      <c r="W14" s="47"/>
      <c r="X14" s="47">
        <v>2</v>
      </c>
      <c r="Y14" s="13"/>
    </row>
    <row r="15" spans="1:25" ht="30" x14ac:dyDescent="0.25">
      <c r="A15" s="145" t="s">
        <v>1290</v>
      </c>
      <c r="B15" s="145" t="s">
        <v>361</v>
      </c>
      <c r="C15" s="145" t="s">
        <v>1304</v>
      </c>
      <c r="D15" s="100" t="s">
        <v>255</v>
      </c>
      <c r="E15" s="168">
        <v>13.3</v>
      </c>
      <c r="F15" s="145" t="s">
        <v>4</v>
      </c>
      <c r="G15" s="5" t="s">
        <v>437</v>
      </c>
      <c r="H15" s="181"/>
      <c r="I15" s="251"/>
      <c r="J15" s="5"/>
      <c r="K15" s="255" t="s">
        <v>2045</v>
      </c>
      <c r="L15" s="95" t="s">
        <v>10</v>
      </c>
      <c r="M15" s="179" t="s">
        <v>1777</v>
      </c>
      <c r="N15" s="161">
        <v>2200</v>
      </c>
      <c r="O15" s="161">
        <v>2125</v>
      </c>
      <c r="P15" s="11">
        <f t="shared" si="0"/>
        <v>4.6749999999999998</v>
      </c>
      <c r="Q15" s="13"/>
      <c r="R15" s="13"/>
      <c r="S15" s="47">
        <v>15.94</v>
      </c>
      <c r="T15" s="47">
        <v>3</v>
      </c>
      <c r="U15" s="47"/>
      <c r="V15" s="47">
        <f t="shared" si="1"/>
        <v>37.655000000000001</v>
      </c>
      <c r="W15" s="47"/>
      <c r="X15" s="47">
        <v>2</v>
      </c>
      <c r="Y15" s="13">
        <v>3.49</v>
      </c>
    </row>
    <row r="16" spans="1:25" ht="30" x14ac:dyDescent="0.25">
      <c r="A16" s="145" t="s">
        <v>1290</v>
      </c>
      <c r="B16" s="145" t="s">
        <v>361</v>
      </c>
      <c r="C16" s="145" t="s">
        <v>1305</v>
      </c>
      <c r="D16" s="100" t="s">
        <v>154</v>
      </c>
      <c r="E16" s="168">
        <v>16.7</v>
      </c>
      <c r="F16" s="145" t="s">
        <v>4</v>
      </c>
      <c r="G16" s="5" t="s">
        <v>437</v>
      </c>
      <c r="H16" s="181"/>
      <c r="I16" s="251"/>
      <c r="J16" s="5"/>
      <c r="K16" s="255" t="s">
        <v>2045</v>
      </c>
      <c r="L16" s="95" t="s">
        <v>10</v>
      </c>
      <c r="M16" s="179" t="s">
        <v>1777</v>
      </c>
      <c r="N16" s="161">
        <v>3000</v>
      </c>
      <c r="O16" s="161">
        <v>2125</v>
      </c>
      <c r="P16" s="11">
        <f t="shared" si="0"/>
        <v>6.375</v>
      </c>
      <c r="Q16" s="13"/>
      <c r="R16" s="13"/>
      <c r="S16" s="47">
        <v>17.399999999999999</v>
      </c>
      <c r="T16" s="47">
        <v>3</v>
      </c>
      <c r="U16" s="47"/>
      <c r="V16" s="47">
        <f t="shared" si="1"/>
        <v>40.334999999999994</v>
      </c>
      <c r="W16" s="47"/>
      <c r="X16" s="47">
        <v>2</v>
      </c>
      <c r="Y16" s="13">
        <v>3.49</v>
      </c>
    </row>
    <row r="17" spans="1:25" ht="30" x14ac:dyDescent="0.25">
      <c r="A17" s="145" t="s">
        <v>1290</v>
      </c>
      <c r="B17" s="145" t="s">
        <v>361</v>
      </c>
      <c r="C17" s="145" t="s">
        <v>1306</v>
      </c>
      <c r="D17" s="101" t="s">
        <v>254</v>
      </c>
      <c r="E17" s="168">
        <v>45.2</v>
      </c>
      <c r="F17" s="145" t="s">
        <v>4</v>
      </c>
      <c r="G17" s="5" t="s">
        <v>437</v>
      </c>
      <c r="H17" s="181"/>
      <c r="I17" s="255"/>
      <c r="J17" s="5"/>
      <c r="K17" s="255" t="s">
        <v>2045</v>
      </c>
      <c r="L17" s="95" t="s">
        <v>10</v>
      </c>
      <c r="M17" s="179" t="s">
        <v>1777</v>
      </c>
      <c r="N17" s="161">
        <v>4800</v>
      </c>
      <c r="O17" s="161">
        <v>2125</v>
      </c>
      <c r="P17" s="11">
        <f t="shared" si="0"/>
        <v>10.199999999999999</v>
      </c>
      <c r="Q17" s="13"/>
      <c r="R17" s="13"/>
      <c r="S17" s="47">
        <v>26.84</v>
      </c>
      <c r="T17" s="47">
        <v>3</v>
      </c>
      <c r="U17" s="47"/>
      <c r="V17" s="47">
        <f t="shared" si="1"/>
        <v>66.86999999999999</v>
      </c>
      <c r="W17" s="47"/>
      <c r="X17" s="47"/>
      <c r="Y17" s="13">
        <v>3.45</v>
      </c>
    </row>
    <row r="18" spans="1:25" ht="30" x14ac:dyDescent="0.25">
      <c r="A18" s="145" t="s">
        <v>1290</v>
      </c>
      <c r="B18" s="145" t="s">
        <v>361</v>
      </c>
      <c r="C18" s="145" t="s">
        <v>1307</v>
      </c>
      <c r="D18" s="101" t="s">
        <v>257</v>
      </c>
      <c r="E18" s="168">
        <v>45.2</v>
      </c>
      <c r="F18" s="145" t="s">
        <v>4</v>
      </c>
      <c r="G18" s="5" t="s">
        <v>437</v>
      </c>
      <c r="H18" s="181"/>
      <c r="I18" s="255"/>
      <c r="J18" s="5"/>
      <c r="K18" s="255" t="s">
        <v>2045</v>
      </c>
      <c r="L18" s="95" t="s">
        <v>10</v>
      </c>
      <c r="M18" s="179" t="s">
        <v>1777</v>
      </c>
      <c r="N18" s="161">
        <v>4800</v>
      </c>
      <c r="O18" s="161">
        <v>2125</v>
      </c>
      <c r="P18" s="11">
        <f t="shared" si="0"/>
        <v>10.199999999999999</v>
      </c>
      <c r="Q18" s="13"/>
      <c r="R18" s="13"/>
      <c r="S18" s="47">
        <v>26.84</v>
      </c>
      <c r="T18" s="47">
        <v>3</v>
      </c>
      <c r="U18" s="47"/>
      <c r="V18" s="47">
        <f t="shared" si="1"/>
        <v>66.86999999999999</v>
      </c>
      <c r="W18" s="47"/>
      <c r="X18" s="47"/>
      <c r="Y18" s="13">
        <v>3.45</v>
      </c>
    </row>
    <row r="19" spans="1:25" ht="30" x14ac:dyDescent="0.25">
      <c r="A19" s="145" t="s">
        <v>1290</v>
      </c>
      <c r="B19" s="145" t="s">
        <v>361</v>
      </c>
      <c r="C19" s="145" t="s">
        <v>1308</v>
      </c>
      <c r="D19" s="100" t="s">
        <v>255</v>
      </c>
      <c r="E19" s="168">
        <v>13.3</v>
      </c>
      <c r="F19" s="145" t="s">
        <v>4</v>
      </c>
      <c r="G19" s="5" t="s">
        <v>437</v>
      </c>
      <c r="H19" s="181"/>
      <c r="I19" s="251"/>
      <c r="J19" s="5"/>
      <c r="K19" s="255" t="s">
        <v>2045</v>
      </c>
      <c r="L19" s="95" t="s">
        <v>10</v>
      </c>
      <c r="M19" s="179" t="s">
        <v>1777</v>
      </c>
      <c r="N19" s="161">
        <v>2200</v>
      </c>
      <c r="O19" s="161">
        <v>2125</v>
      </c>
      <c r="P19" s="11">
        <f t="shared" si="0"/>
        <v>4.6749999999999998</v>
      </c>
      <c r="Q19" s="13"/>
      <c r="R19" s="13"/>
      <c r="S19" s="47">
        <v>15.94</v>
      </c>
      <c r="T19" s="47">
        <v>3</v>
      </c>
      <c r="U19" s="47"/>
      <c r="V19" s="47">
        <f t="shared" si="1"/>
        <v>37.655000000000001</v>
      </c>
      <c r="W19" s="47"/>
      <c r="X19" s="47">
        <v>2</v>
      </c>
      <c r="Y19" s="13">
        <v>3.49</v>
      </c>
    </row>
    <row r="20" spans="1:25" ht="30" x14ac:dyDescent="0.25">
      <c r="A20" s="145" t="s">
        <v>1290</v>
      </c>
      <c r="B20" s="145" t="s">
        <v>361</v>
      </c>
      <c r="C20" s="145" t="s">
        <v>1309</v>
      </c>
      <c r="D20" s="100" t="s">
        <v>154</v>
      </c>
      <c r="E20" s="168">
        <v>16.7</v>
      </c>
      <c r="F20" s="145" t="s">
        <v>4</v>
      </c>
      <c r="G20" s="5" t="s">
        <v>437</v>
      </c>
      <c r="H20" s="181"/>
      <c r="I20" s="251"/>
      <c r="J20" s="5"/>
      <c r="K20" s="255" t="s">
        <v>2045</v>
      </c>
      <c r="L20" s="95" t="s">
        <v>10</v>
      </c>
      <c r="M20" s="179" t="s">
        <v>1777</v>
      </c>
      <c r="N20" s="161">
        <v>3000</v>
      </c>
      <c r="O20" s="161">
        <v>2125</v>
      </c>
      <c r="P20" s="11">
        <f t="shared" si="0"/>
        <v>6.375</v>
      </c>
      <c r="Q20" s="13"/>
      <c r="R20" s="13"/>
      <c r="S20" s="47">
        <v>17.399999999999999</v>
      </c>
      <c r="T20" s="47">
        <v>3</v>
      </c>
      <c r="U20" s="47"/>
      <c r="V20" s="47">
        <f t="shared" si="1"/>
        <v>40.334999999999994</v>
      </c>
      <c r="W20" s="47"/>
      <c r="X20" s="47">
        <v>2</v>
      </c>
      <c r="Y20" s="13">
        <v>3.49</v>
      </c>
    </row>
    <row r="21" spans="1:25" ht="30" x14ac:dyDescent="0.25">
      <c r="A21" s="145" t="s">
        <v>1290</v>
      </c>
      <c r="B21" s="145" t="s">
        <v>361</v>
      </c>
      <c r="C21" s="145" t="s">
        <v>1310</v>
      </c>
      <c r="D21" s="100" t="s">
        <v>80</v>
      </c>
      <c r="E21" s="168">
        <v>43.9</v>
      </c>
      <c r="F21" s="145" t="s">
        <v>4</v>
      </c>
      <c r="G21" s="5" t="s">
        <v>437</v>
      </c>
      <c r="H21" s="181"/>
      <c r="I21" s="251"/>
      <c r="J21" s="5"/>
      <c r="K21" s="255" t="s">
        <v>2045</v>
      </c>
      <c r="L21" s="95" t="s">
        <v>10</v>
      </c>
      <c r="M21" s="179" t="s">
        <v>7</v>
      </c>
      <c r="N21" s="161">
        <v>1100</v>
      </c>
      <c r="O21" s="161">
        <v>2125</v>
      </c>
      <c r="P21" s="11">
        <f t="shared" si="0"/>
        <v>2.3374999999999999</v>
      </c>
      <c r="Q21" s="13"/>
      <c r="R21" s="13"/>
      <c r="S21" s="47">
        <v>32.32</v>
      </c>
      <c r="T21" s="47">
        <v>3</v>
      </c>
      <c r="U21" s="47"/>
      <c r="V21" s="47">
        <f t="shared" si="1"/>
        <v>94.622500000000002</v>
      </c>
      <c r="W21" s="47"/>
      <c r="X21" s="47"/>
      <c r="Y21" s="13"/>
    </row>
    <row r="22" spans="1:25" ht="30" x14ac:dyDescent="0.25">
      <c r="A22" s="145" t="s">
        <v>1290</v>
      </c>
      <c r="B22" s="145" t="s">
        <v>361</v>
      </c>
      <c r="C22" s="145" t="s">
        <v>1311</v>
      </c>
      <c r="D22" s="100" t="s">
        <v>1297</v>
      </c>
      <c r="E22" s="168">
        <v>43</v>
      </c>
      <c r="F22" s="145" t="s">
        <v>4</v>
      </c>
      <c r="G22" s="5" t="s">
        <v>437</v>
      </c>
      <c r="H22" s="181"/>
      <c r="I22" s="251"/>
      <c r="J22" s="5"/>
      <c r="K22" s="255" t="s">
        <v>2045</v>
      </c>
      <c r="L22" s="95" t="s">
        <v>583</v>
      </c>
      <c r="M22" s="179" t="s">
        <v>1777</v>
      </c>
      <c r="N22" s="161">
        <v>4200</v>
      </c>
      <c r="O22" s="161">
        <v>2125</v>
      </c>
      <c r="P22" s="11">
        <f t="shared" si="0"/>
        <v>8.9249999999999989</v>
      </c>
      <c r="Q22" s="13">
        <v>15.96</v>
      </c>
      <c r="R22" s="13"/>
      <c r="S22" s="47">
        <v>39.090000000000003</v>
      </c>
      <c r="T22" s="47">
        <v>3</v>
      </c>
      <c r="U22" s="47"/>
      <c r="V22" s="47">
        <f t="shared" si="1"/>
        <v>83.485000000000014</v>
      </c>
      <c r="W22" s="47"/>
      <c r="X22" s="47">
        <v>2</v>
      </c>
      <c r="Y22" s="13">
        <v>6.9</v>
      </c>
    </row>
    <row r="23" spans="1:25" ht="30" x14ac:dyDescent="0.25">
      <c r="A23" s="145" t="s">
        <v>1290</v>
      </c>
      <c r="B23" s="145" t="s">
        <v>361</v>
      </c>
      <c r="C23" s="145" t="s">
        <v>1312</v>
      </c>
      <c r="D23" s="100" t="s">
        <v>1297</v>
      </c>
      <c r="E23" s="168">
        <v>23.4</v>
      </c>
      <c r="F23" s="145" t="s">
        <v>4</v>
      </c>
      <c r="G23" s="5" t="s">
        <v>437</v>
      </c>
      <c r="H23" s="181"/>
      <c r="I23" s="251"/>
      <c r="J23" s="5"/>
      <c r="K23" s="255" t="s">
        <v>2045</v>
      </c>
      <c r="L23" s="95" t="s">
        <v>583</v>
      </c>
      <c r="M23" s="179" t="s">
        <v>7</v>
      </c>
      <c r="N23" s="161">
        <v>1125</v>
      </c>
      <c r="O23" s="161">
        <v>2125</v>
      </c>
      <c r="P23" s="11">
        <f t="shared" si="0"/>
        <v>2.390625</v>
      </c>
      <c r="Q23" s="13">
        <v>12.54</v>
      </c>
      <c r="R23" s="13"/>
      <c r="S23" s="47">
        <v>26.16</v>
      </c>
      <c r="T23" s="47">
        <v>3</v>
      </c>
      <c r="U23" s="47"/>
      <c r="V23" s="47">
        <f t="shared" si="1"/>
        <v>63.549375000000005</v>
      </c>
      <c r="W23" s="47"/>
      <c r="X23" s="47"/>
      <c r="Y23" s="13"/>
    </row>
    <row r="24" spans="1:25" ht="30" x14ac:dyDescent="0.25">
      <c r="A24" s="145" t="s">
        <v>1290</v>
      </c>
      <c r="B24" s="145" t="s">
        <v>361</v>
      </c>
      <c r="C24" s="145" t="s">
        <v>1313</v>
      </c>
      <c r="D24" s="100" t="s">
        <v>154</v>
      </c>
      <c r="E24" s="168">
        <v>16.7</v>
      </c>
      <c r="F24" s="145" t="s">
        <v>4</v>
      </c>
      <c r="G24" s="5" t="s">
        <v>437</v>
      </c>
      <c r="H24" s="181"/>
      <c r="I24" s="251"/>
      <c r="J24" s="5"/>
      <c r="K24" s="255" t="s">
        <v>2045</v>
      </c>
      <c r="L24" s="95" t="s">
        <v>10</v>
      </c>
      <c r="M24" s="179" t="s">
        <v>1777</v>
      </c>
      <c r="N24" s="161">
        <v>3000</v>
      </c>
      <c r="O24" s="161">
        <v>2125</v>
      </c>
      <c r="P24" s="11">
        <f t="shared" si="0"/>
        <v>6.375</v>
      </c>
      <c r="Q24" s="13"/>
      <c r="R24" s="13"/>
      <c r="S24" s="47">
        <v>17.399999999999999</v>
      </c>
      <c r="T24" s="47">
        <v>3</v>
      </c>
      <c r="U24" s="47"/>
      <c r="V24" s="47">
        <f t="shared" si="1"/>
        <v>40.334999999999994</v>
      </c>
      <c r="W24" s="47"/>
      <c r="X24" s="47">
        <v>2</v>
      </c>
      <c r="Y24" s="13">
        <v>3.49</v>
      </c>
    </row>
    <row r="25" spans="1:25" ht="30" x14ac:dyDescent="0.25">
      <c r="A25" s="145" t="s">
        <v>1290</v>
      </c>
      <c r="B25" s="145" t="s">
        <v>361</v>
      </c>
      <c r="C25" s="145" t="s">
        <v>1314</v>
      </c>
      <c r="D25" s="100" t="s">
        <v>255</v>
      </c>
      <c r="E25" s="168">
        <v>13.3</v>
      </c>
      <c r="F25" s="145" t="s">
        <v>4</v>
      </c>
      <c r="G25" s="5" t="s">
        <v>437</v>
      </c>
      <c r="H25" s="181"/>
      <c r="I25" s="251"/>
      <c r="J25" s="5"/>
      <c r="K25" s="255" t="s">
        <v>2045</v>
      </c>
      <c r="L25" s="95" t="s">
        <v>10</v>
      </c>
      <c r="M25" s="179" t="s">
        <v>1777</v>
      </c>
      <c r="N25" s="161">
        <v>2200</v>
      </c>
      <c r="O25" s="161">
        <v>2125</v>
      </c>
      <c r="P25" s="11">
        <f t="shared" si="0"/>
        <v>4.6749999999999998</v>
      </c>
      <c r="Q25" s="13"/>
      <c r="R25" s="13"/>
      <c r="S25" s="47">
        <v>15.94</v>
      </c>
      <c r="T25" s="47">
        <v>3</v>
      </c>
      <c r="U25" s="47"/>
      <c r="V25" s="47">
        <f t="shared" si="1"/>
        <v>37.655000000000001</v>
      </c>
      <c r="W25" s="47"/>
      <c r="X25" s="47">
        <v>2</v>
      </c>
      <c r="Y25" s="13">
        <v>3.49</v>
      </c>
    </row>
    <row r="26" spans="1:25" ht="30" x14ac:dyDescent="0.25">
      <c r="A26" s="145" t="s">
        <v>1290</v>
      </c>
      <c r="B26" s="145" t="s">
        <v>361</v>
      </c>
      <c r="C26" s="145" t="s">
        <v>1315</v>
      </c>
      <c r="D26" s="101" t="s">
        <v>259</v>
      </c>
      <c r="E26" s="168">
        <v>45.2</v>
      </c>
      <c r="F26" s="145" t="s">
        <v>4</v>
      </c>
      <c r="G26" s="5" t="s">
        <v>437</v>
      </c>
      <c r="H26" s="181"/>
      <c r="I26" s="251"/>
      <c r="J26" s="5"/>
      <c r="K26" s="255" t="s">
        <v>2045</v>
      </c>
      <c r="L26" s="95" t="s">
        <v>10</v>
      </c>
      <c r="M26" s="179" t="s">
        <v>1777</v>
      </c>
      <c r="N26" s="161">
        <v>4800</v>
      </c>
      <c r="O26" s="161">
        <v>2125</v>
      </c>
      <c r="P26" s="11">
        <f t="shared" si="0"/>
        <v>10.199999999999999</v>
      </c>
      <c r="Q26" s="13"/>
      <c r="R26" s="13"/>
      <c r="S26" s="47">
        <v>26.84</v>
      </c>
      <c r="T26" s="47">
        <v>3</v>
      </c>
      <c r="U26" s="47"/>
      <c r="V26" s="47">
        <f t="shared" si="1"/>
        <v>66.86999999999999</v>
      </c>
      <c r="W26" s="47"/>
      <c r="X26" s="47"/>
      <c r="Y26" s="13">
        <v>3.45</v>
      </c>
    </row>
    <row r="27" spans="1:25" ht="30" x14ac:dyDescent="0.25">
      <c r="A27" s="145" t="s">
        <v>1290</v>
      </c>
      <c r="B27" s="145" t="s">
        <v>361</v>
      </c>
      <c r="C27" s="145" t="s">
        <v>1316</v>
      </c>
      <c r="D27" s="100" t="s">
        <v>1303</v>
      </c>
      <c r="E27" s="168">
        <v>13.8</v>
      </c>
      <c r="F27" s="145" t="s">
        <v>4</v>
      </c>
      <c r="G27" s="5" t="s">
        <v>437</v>
      </c>
      <c r="H27" s="181"/>
      <c r="I27" s="251"/>
      <c r="J27" s="5"/>
      <c r="K27" s="255" t="s">
        <v>2045</v>
      </c>
      <c r="L27" s="95" t="s">
        <v>10</v>
      </c>
      <c r="M27" s="179" t="s">
        <v>1777</v>
      </c>
      <c r="N27" s="161">
        <v>3375</v>
      </c>
      <c r="O27" s="161">
        <v>2125</v>
      </c>
      <c r="P27" s="11">
        <f t="shared" si="0"/>
        <v>7.171875</v>
      </c>
      <c r="Q27" s="13"/>
      <c r="R27" s="13"/>
      <c r="S27" s="47">
        <v>16.38</v>
      </c>
      <c r="T27" s="47">
        <v>3</v>
      </c>
      <c r="U27" s="47"/>
      <c r="V27" s="47">
        <f t="shared" si="1"/>
        <v>39.968125000000001</v>
      </c>
      <c r="W27" s="47"/>
      <c r="X27" s="47">
        <v>2</v>
      </c>
      <c r="Y27" s="13"/>
    </row>
    <row r="28" spans="1:25" ht="30" x14ac:dyDescent="0.25">
      <c r="A28" s="145" t="s">
        <v>1290</v>
      </c>
      <c r="B28" s="145" t="s">
        <v>361</v>
      </c>
      <c r="C28" s="145" t="s">
        <v>1317</v>
      </c>
      <c r="D28" s="101" t="s">
        <v>260</v>
      </c>
      <c r="E28" s="168">
        <v>45.2</v>
      </c>
      <c r="F28" s="145" t="s">
        <v>4</v>
      </c>
      <c r="G28" s="5" t="s">
        <v>437</v>
      </c>
      <c r="H28" s="181"/>
      <c r="I28" s="251"/>
      <c r="J28" s="5"/>
      <c r="K28" s="255" t="s">
        <v>2045</v>
      </c>
      <c r="L28" s="95" t="s">
        <v>10</v>
      </c>
      <c r="M28" s="179" t="s">
        <v>1777</v>
      </c>
      <c r="N28" s="161">
        <v>4800</v>
      </c>
      <c r="O28" s="161">
        <v>2125</v>
      </c>
      <c r="P28" s="11">
        <f t="shared" si="0"/>
        <v>10.199999999999999</v>
      </c>
      <c r="Q28" s="13"/>
      <c r="R28" s="13"/>
      <c r="S28" s="47">
        <v>26.84</v>
      </c>
      <c r="T28" s="47">
        <v>3</v>
      </c>
      <c r="U28" s="47"/>
      <c r="V28" s="47">
        <f t="shared" si="1"/>
        <v>66.86999999999999</v>
      </c>
      <c r="W28" s="47"/>
      <c r="X28" s="47"/>
      <c r="Y28" s="13">
        <v>3.45</v>
      </c>
    </row>
    <row r="29" spans="1:25" ht="30" x14ac:dyDescent="0.25">
      <c r="A29" s="145" t="s">
        <v>1290</v>
      </c>
      <c r="B29" s="145" t="s">
        <v>361</v>
      </c>
      <c r="C29" s="145" t="s">
        <v>1318</v>
      </c>
      <c r="D29" s="100" t="s">
        <v>255</v>
      </c>
      <c r="E29" s="168">
        <v>13.3</v>
      </c>
      <c r="F29" s="145" t="s">
        <v>4</v>
      </c>
      <c r="G29" s="5" t="s">
        <v>437</v>
      </c>
      <c r="H29" s="181"/>
      <c r="I29" s="251"/>
      <c r="J29" s="5"/>
      <c r="K29" s="255" t="s">
        <v>2045</v>
      </c>
      <c r="L29" s="95" t="s">
        <v>10</v>
      </c>
      <c r="M29" s="179" t="s">
        <v>1777</v>
      </c>
      <c r="N29" s="161">
        <v>2200</v>
      </c>
      <c r="O29" s="161">
        <v>2125</v>
      </c>
      <c r="P29" s="11">
        <f t="shared" si="0"/>
        <v>4.6749999999999998</v>
      </c>
      <c r="Q29" s="13"/>
      <c r="R29" s="13"/>
      <c r="S29" s="47">
        <v>15.94</v>
      </c>
      <c r="T29" s="47">
        <v>3</v>
      </c>
      <c r="U29" s="47"/>
      <c r="V29" s="47">
        <f t="shared" si="1"/>
        <v>37.655000000000001</v>
      </c>
      <c r="W29" s="47"/>
      <c r="X29" s="47">
        <v>2</v>
      </c>
      <c r="Y29" s="13">
        <v>3.49</v>
      </c>
    </row>
    <row r="30" spans="1:25" ht="30" x14ac:dyDescent="0.25">
      <c r="A30" s="145" t="s">
        <v>1290</v>
      </c>
      <c r="B30" s="145" t="s">
        <v>361</v>
      </c>
      <c r="C30" s="145" t="s">
        <v>1319</v>
      </c>
      <c r="D30" s="100" t="s">
        <v>154</v>
      </c>
      <c r="E30" s="168">
        <v>16.7</v>
      </c>
      <c r="F30" s="145" t="s">
        <v>4</v>
      </c>
      <c r="G30" s="5" t="s">
        <v>437</v>
      </c>
      <c r="H30" s="181"/>
      <c r="I30" s="251"/>
      <c r="J30" s="5"/>
      <c r="K30" s="255" t="s">
        <v>2045</v>
      </c>
      <c r="L30" s="95" t="s">
        <v>10</v>
      </c>
      <c r="M30" s="179" t="s">
        <v>1777</v>
      </c>
      <c r="N30" s="161">
        <v>3000</v>
      </c>
      <c r="O30" s="161">
        <v>2125</v>
      </c>
      <c r="P30" s="11">
        <f t="shared" si="0"/>
        <v>6.375</v>
      </c>
      <c r="Q30" s="13"/>
      <c r="R30" s="13"/>
      <c r="S30" s="47">
        <v>17.399999999999999</v>
      </c>
      <c r="T30" s="47">
        <v>3</v>
      </c>
      <c r="U30" s="47"/>
      <c r="V30" s="47">
        <f t="shared" si="1"/>
        <v>40.334999999999994</v>
      </c>
      <c r="W30" s="47"/>
      <c r="X30" s="47">
        <v>2</v>
      </c>
      <c r="Y30" s="13">
        <v>3.49</v>
      </c>
    </row>
    <row r="31" spans="1:25" ht="30" x14ac:dyDescent="0.25">
      <c r="A31" s="145" t="s">
        <v>1290</v>
      </c>
      <c r="B31" s="145" t="s">
        <v>361</v>
      </c>
      <c r="C31" s="145" t="s">
        <v>1320</v>
      </c>
      <c r="D31" s="100" t="s">
        <v>1297</v>
      </c>
      <c r="E31" s="168">
        <v>37.1</v>
      </c>
      <c r="F31" s="145" t="s">
        <v>4</v>
      </c>
      <c r="G31" s="5" t="s">
        <v>437</v>
      </c>
      <c r="H31" s="181"/>
      <c r="I31" s="251"/>
      <c r="J31" s="5"/>
      <c r="K31" s="255" t="s">
        <v>2045</v>
      </c>
      <c r="L31" s="95" t="s">
        <v>583</v>
      </c>
      <c r="M31" s="179" t="s">
        <v>1777</v>
      </c>
      <c r="N31" s="161">
        <v>4200</v>
      </c>
      <c r="O31" s="161">
        <v>2125</v>
      </c>
      <c r="P31" s="11">
        <f t="shared" si="0"/>
        <v>8.9249999999999989</v>
      </c>
      <c r="Q31" s="13">
        <v>22.32</v>
      </c>
      <c r="R31" s="13"/>
      <c r="S31" s="47">
        <v>45.61</v>
      </c>
      <c r="T31" s="47">
        <v>3</v>
      </c>
      <c r="U31" s="47"/>
      <c r="V31" s="47">
        <f t="shared" si="1"/>
        <v>99.034999999999982</v>
      </c>
      <c r="W31" s="47"/>
      <c r="X31" s="47">
        <v>2</v>
      </c>
      <c r="Y31" s="13">
        <v>4.55</v>
      </c>
    </row>
    <row r="32" spans="1:25" ht="30" x14ac:dyDescent="0.25">
      <c r="A32" s="145" t="s">
        <v>1290</v>
      </c>
      <c r="B32" s="145" t="s">
        <v>361</v>
      </c>
      <c r="C32" s="145" t="s">
        <v>1321</v>
      </c>
      <c r="D32" s="100" t="s">
        <v>256</v>
      </c>
      <c r="E32" s="168">
        <v>7.1</v>
      </c>
      <c r="F32" s="145" t="s">
        <v>4</v>
      </c>
      <c r="G32" s="5" t="s">
        <v>437</v>
      </c>
      <c r="H32" s="181"/>
      <c r="I32" s="251"/>
      <c r="J32" s="5"/>
      <c r="K32" s="255" t="s">
        <v>2045</v>
      </c>
      <c r="L32" s="95" t="s">
        <v>583</v>
      </c>
      <c r="M32" s="179" t="s">
        <v>7</v>
      </c>
      <c r="N32" s="161">
        <v>875</v>
      </c>
      <c r="O32" s="161">
        <v>2125</v>
      </c>
      <c r="P32" s="11">
        <f t="shared" si="0"/>
        <v>1.859375</v>
      </c>
      <c r="Q32" s="13"/>
      <c r="R32" s="13"/>
      <c r="S32" s="47">
        <v>11.55</v>
      </c>
      <c r="T32" s="47">
        <v>3</v>
      </c>
      <c r="U32" s="47"/>
      <c r="V32" s="47">
        <f t="shared" si="1"/>
        <v>32.790625000000006</v>
      </c>
      <c r="W32" s="47"/>
      <c r="X32" s="47"/>
      <c r="Y32" s="13"/>
    </row>
    <row r="33" spans="1:25" ht="30" x14ac:dyDescent="0.25">
      <c r="A33" s="145" t="s">
        <v>1290</v>
      </c>
      <c r="B33" s="145" t="s">
        <v>361</v>
      </c>
      <c r="C33" s="145" t="s">
        <v>1322</v>
      </c>
      <c r="D33" s="100" t="s">
        <v>80</v>
      </c>
      <c r="E33" s="168">
        <v>4.8</v>
      </c>
      <c r="F33" s="145" t="s">
        <v>4</v>
      </c>
      <c r="G33" s="5" t="s">
        <v>437</v>
      </c>
      <c r="H33" s="181"/>
      <c r="I33" s="251"/>
      <c r="J33" s="5"/>
      <c r="K33" s="255" t="s">
        <v>2045</v>
      </c>
      <c r="L33" s="95" t="s">
        <v>6</v>
      </c>
      <c r="M33" s="179" t="s">
        <v>7</v>
      </c>
      <c r="N33" s="161">
        <v>875</v>
      </c>
      <c r="O33" s="161">
        <v>2125</v>
      </c>
      <c r="P33" s="11">
        <f t="shared" si="0"/>
        <v>1.859375</v>
      </c>
      <c r="Q33" s="13"/>
      <c r="R33" s="13"/>
      <c r="S33" s="47">
        <v>9.1999999999999993</v>
      </c>
      <c r="T33" s="47">
        <v>2.7</v>
      </c>
      <c r="U33" s="11">
        <f>S33*T33-P33-Q33-Y33-X33</f>
        <v>22.980625</v>
      </c>
      <c r="V33" s="47"/>
      <c r="W33" s="47"/>
      <c r="X33" s="47"/>
      <c r="Y33" s="13"/>
    </row>
    <row r="34" spans="1:25" ht="30" x14ac:dyDescent="0.25">
      <c r="A34" s="145" t="s">
        <v>1290</v>
      </c>
      <c r="B34" s="145" t="s">
        <v>361</v>
      </c>
      <c r="C34" s="145" t="s">
        <v>1323</v>
      </c>
      <c r="D34" s="100" t="s">
        <v>224</v>
      </c>
      <c r="E34" s="168">
        <v>2.7</v>
      </c>
      <c r="F34" s="145" t="s">
        <v>4</v>
      </c>
      <c r="G34" s="5" t="s">
        <v>437</v>
      </c>
      <c r="H34" s="181"/>
      <c r="I34" s="251"/>
      <c r="J34" s="5"/>
      <c r="K34" s="255" t="s">
        <v>2045</v>
      </c>
      <c r="L34" s="95" t="s">
        <v>6</v>
      </c>
      <c r="M34" s="179" t="s">
        <v>7</v>
      </c>
      <c r="N34" s="161">
        <v>875</v>
      </c>
      <c r="O34" s="161">
        <v>2125</v>
      </c>
      <c r="P34" s="11">
        <f t="shared" si="0"/>
        <v>1.859375</v>
      </c>
      <c r="Q34" s="13"/>
      <c r="R34" s="13"/>
      <c r="S34" s="47">
        <v>6.55</v>
      </c>
      <c r="T34" s="47">
        <v>2.7</v>
      </c>
      <c r="U34" s="47"/>
      <c r="V34" s="47"/>
      <c r="W34" s="47"/>
      <c r="X34" s="47">
        <f>S34*T34-P34</f>
        <v>15.825625000000002</v>
      </c>
      <c r="Y34" s="13"/>
    </row>
    <row r="35" spans="1:25" ht="30" x14ac:dyDescent="0.25">
      <c r="A35" s="145" t="s">
        <v>1290</v>
      </c>
      <c r="B35" s="145" t="s">
        <v>361</v>
      </c>
      <c r="C35" s="145" t="s">
        <v>1324</v>
      </c>
      <c r="D35" s="100" t="s">
        <v>224</v>
      </c>
      <c r="E35" s="168">
        <v>2.6</v>
      </c>
      <c r="F35" s="145" t="s">
        <v>4</v>
      </c>
      <c r="G35" s="5" t="s">
        <v>437</v>
      </c>
      <c r="H35" s="181"/>
      <c r="I35" s="251"/>
      <c r="J35" s="5"/>
      <c r="K35" s="255" t="s">
        <v>2045</v>
      </c>
      <c r="L35" s="95" t="s">
        <v>6</v>
      </c>
      <c r="M35" s="179" t="s">
        <v>7</v>
      </c>
      <c r="N35" s="161">
        <v>875</v>
      </c>
      <c r="O35" s="161">
        <v>2125</v>
      </c>
      <c r="P35" s="11">
        <f t="shared" si="0"/>
        <v>1.859375</v>
      </c>
      <c r="Q35" s="13"/>
      <c r="R35" s="13"/>
      <c r="S35" s="47">
        <v>6.49</v>
      </c>
      <c r="T35" s="47">
        <v>2.7</v>
      </c>
      <c r="U35" s="47"/>
      <c r="V35" s="47"/>
      <c r="W35" s="47"/>
      <c r="X35" s="47">
        <f>S35*T35-P35</f>
        <v>15.663625000000003</v>
      </c>
      <c r="Y35" s="13"/>
    </row>
    <row r="36" spans="1:25" ht="30" x14ac:dyDescent="0.25">
      <c r="A36" s="145" t="s">
        <v>1290</v>
      </c>
      <c r="B36" s="145" t="s">
        <v>361</v>
      </c>
      <c r="C36" s="145" t="s">
        <v>1325</v>
      </c>
      <c r="D36" s="100" t="s">
        <v>154</v>
      </c>
      <c r="E36" s="168">
        <v>12.3</v>
      </c>
      <c r="F36" s="145" t="s">
        <v>4</v>
      </c>
      <c r="G36" s="5" t="s">
        <v>437</v>
      </c>
      <c r="H36" s="181"/>
      <c r="I36" s="251"/>
      <c r="J36" s="5"/>
      <c r="K36" s="255" t="s">
        <v>2045</v>
      </c>
      <c r="L36" s="95" t="s">
        <v>10</v>
      </c>
      <c r="M36" s="179" t="s">
        <v>1777</v>
      </c>
      <c r="N36" s="161">
        <v>3000</v>
      </c>
      <c r="O36" s="161">
        <v>2125</v>
      </c>
      <c r="P36" s="11">
        <f t="shared" si="0"/>
        <v>6.375</v>
      </c>
      <c r="Q36" s="13"/>
      <c r="R36" s="13"/>
      <c r="S36" s="47">
        <v>14.06</v>
      </c>
      <c r="T36" s="47">
        <v>3</v>
      </c>
      <c r="U36" s="47"/>
      <c r="V36" s="47">
        <f t="shared" ref="V36:V42" si="2">S36*T36-P36-Q36-Y36-X36</f>
        <v>30.314999999999998</v>
      </c>
      <c r="W36" s="47"/>
      <c r="X36" s="47">
        <v>2</v>
      </c>
      <c r="Y36" s="13">
        <v>3.49</v>
      </c>
    </row>
    <row r="37" spans="1:25" ht="30" x14ac:dyDescent="0.25">
      <c r="A37" s="145" t="s">
        <v>1290</v>
      </c>
      <c r="B37" s="145" t="s">
        <v>361</v>
      </c>
      <c r="C37" s="145" t="s">
        <v>1326</v>
      </c>
      <c r="D37" s="100" t="s">
        <v>255</v>
      </c>
      <c r="E37" s="168">
        <v>8.1</v>
      </c>
      <c r="F37" s="145" t="s">
        <v>4</v>
      </c>
      <c r="G37" s="5" t="s">
        <v>437</v>
      </c>
      <c r="H37" s="181"/>
      <c r="I37" s="251"/>
      <c r="J37" s="5"/>
      <c r="K37" s="255" t="s">
        <v>2045</v>
      </c>
      <c r="L37" s="95" t="s">
        <v>10</v>
      </c>
      <c r="M37" s="179" t="s">
        <v>1777</v>
      </c>
      <c r="N37" s="161">
        <v>2200</v>
      </c>
      <c r="O37" s="161">
        <v>2125</v>
      </c>
      <c r="P37" s="11">
        <f t="shared" si="0"/>
        <v>4.6749999999999998</v>
      </c>
      <c r="Q37" s="13"/>
      <c r="R37" s="13"/>
      <c r="S37" s="47">
        <v>11.43</v>
      </c>
      <c r="T37" s="47">
        <v>3</v>
      </c>
      <c r="U37" s="47"/>
      <c r="V37" s="47">
        <f t="shared" si="2"/>
        <v>24.125</v>
      </c>
      <c r="W37" s="47"/>
      <c r="X37" s="47">
        <v>2</v>
      </c>
      <c r="Y37" s="13">
        <v>3.49</v>
      </c>
    </row>
    <row r="38" spans="1:25" ht="30" x14ac:dyDescent="0.25">
      <c r="A38" s="145" t="s">
        <v>1290</v>
      </c>
      <c r="B38" s="145" t="s">
        <v>361</v>
      </c>
      <c r="C38" s="145" t="s">
        <v>1327</v>
      </c>
      <c r="D38" s="101" t="s">
        <v>1328</v>
      </c>
      <c r="E38" s="168">
        <v>44.2</v>
      </c>
      <c r="F38" s="145" t="s">
        <v>4</v>
      </c>
      <c r="G38" s="5" t="s">
        <v>437</v>
      </c>
      <c r="H38" s="181"/>
      <c r="I38" s="251"/>
      <c r="J38" s="5"/>
      <c r="K38" s="255" t="s">
        <v>2045</v>
      </c>
      <c r="L38" s="95" t="s">
        <v>10</v>
      </c>
      <c r="M38" s="179" t="s">
        <v>1777</v>
      </c>
      <c r="N38" s="161">
        <v>4800</v>
      </c>
      <c r="O38" s="161">
        <v>2125</v>
      </c>
      <c r="P38" s="11">
        <f t="shared" si="0"/>
        <v>10.199999999999999</v>
      </c>
      <c r="Q38" s="13"/>
      <c r="R38" s="13"/>
      <c r="S38" s="47">
        <v>26.54</v>
      </c>
      <c r="T38" s="47">
        <v>3</v>
      </c>
      <c r="U38" s="47"/>
      <c r="V38" s="47">
        <f t="shared" si="2"/>
        <v>64.87</v>
      </c>
      <c r="W38" s="47"/>
      <c r="X38" s="47"/>
      <c r="Y38" s="13">
        <v>4.55</v>
      </c>
    </row>
    <row r="39" spans="1:25" ht="30" x14ac:dyDescent="0.25">
      <c r="A39" s="145" t="s">
        <v>1290</v>
      </c>
      <c r="B39" s="145" t="s">
        <v>361</v>
      </c>
      <c r="C39" s="145" t="s">
        <v>1329</v>
      </c>
      <c r="D39" s="100" t="s">
        <v>1303</v>
      </c>
      <c r="E39" s="168">
        <v>12</v>
      </c>
      <c r="F39" s="145" t="s">
        <v>4</v>
      </c>
      <c r="G39" s="5" t="s">
        <v>437</v>
      </c>
      <c r="H39" s="181"/>
      <c r="I39" s="251"/>
      <c r="J39" s="5"/>
      <c r="K39" s="255" t="s">
        <v>2045</v>
      </c>
      <c r="L39" s="95" t="s">
        <v>10</v>
      </c>
      <c r="M39" s="179" t="s">
        <v>1777</v>
      </c>
      <c r="N39" s="161">
        <v>3300</v>
      </c>
      <c r="O39" s="161">
        <v>2125</v>
      </c>
      <c r="P39" s="11">
        <f t="shared" si="0"/>
        <v>7.0124999999999993</v>
      </c>
      <c r="Q39" s="13"/>
      <c r="R39" s="13"/>
      <c r="S39" s="47">
        <v>14.95</v>
      </c>
      <c r="T39" s="47">
        <v>3</v>
      </c>
      <c r="U39" s="47"/>
      <c r="V39" s="47">
        <f t="shared" si="2"/>
        <v>35.837499999999991</v>
      </c>
      <c r="W39" s="47"/>
      <c r="X39" s="47">
        <v>2</v>
      </c>
      <c r="Y39" s="13"/>
    </row>
    <row r="40" spans="1:25" ht="30" x14ac:dyDescent="0.25">
      <c r="A40" s="145" t="s">
        <v>1290</v>
      </c>
      <c r="B40" s="145" t="s">
        <v>361</v>
      </c>
      <c r="C40" s="145" t="s">
        <v>1330</v>
      </c>
      <c r="D40" s="100" t="s">
        <v>255</v>
      </c>
      <c r="E40" s="168">
        <v>8.1</v>
      </c>
      <c r="F40" s="145" t="s">
        <v>4</v>
      </c>
      <c r="G40" s="5" t="s">
        <v>437</v>
      </c>
      <c r="H40" s="181"/>
      <c r="I40" s="251"/>
      <c r="J40" s="5"/>
      <c r="K40" s="255" t="s">
        <v>2045</v>
      </c>
      <c r="L40" s="95" t="s">
        <v>10</v>
      </c>
      <c r="M40" s="179" t="s">
        <v>1777</v>
      </c>
      <c r="N40" s="161">
        <v>2200</v>
      </c>
      <c r="O40" s="161">
        <v>2125</v>
      </c>
      <c r="P40" s="11">
        <f t="shared" si="0"/>
        <v>4.6749999999999998</v>
      </c>
      <c r="Q40" s="13"/>
      <c r="R40" s="13"/>
      <c r="S40" s="47">
        <v>11.46</v>
      </c>
      <c r="T40" s="47">
        <v>3</v>
      </c>
      <c r="U40" s="47"/>
      <c r="V40" s="47">
        <f t="shared" si="2"/>
        <v>24.215000000000003</v>
      </c>
      <c r="W40" s="47"/>
      <c r="X40" s="47">
        <v>2</v>
      </c>
      <c r="Y40" s="13">
        <v>3.49</v>
      </c>
    </row>
    <row r="41" spans="1:25" ht="30" x14ac:dyDescent="0.25">
      <c r="A41" s="145" t="s">
        <v>1290</v>
      </c>
      <c r="B41" s="145" t="s">
        <v>361</v>
      </c>
      <c r="C41" s="145" t="s">
        <v>1331</v>
      </c>
      <c r="D41" s="100" t="s">
        <v>154</v>
      </c>
      <c r="E41" s="168">
        <v>12.3</v>
      </c>
      <c r="F41" s="145" t="s">
        <v>4</v>
      </c>
      <c r="G41" s="5" t="s">
        <v>437</v>
      </c>
      <c r="H41" s="181"/>
      <c r="I41" s="251"/>
      <c r="J41" s="5"/>
      <c r="K41" s="255" t="s">
        <v>2045</v>
      </c>
      <c r="L41" s="95" t="s">
        <v>10</v>
      </c>
      <c r="M41" s="179" t="s">
        <v>1777</v>
      </c>
      <c r="N41" s="161">
        <v>3000</v>
      </c>
      <c r="O41" s="161">
        <v>2125</v>
      </c>
      <c r="P41" s="11">
        <f t="shared" si="0"/>
        <v>6.375</v>
      </c>
      <c r="Q41" s="13"/>
      <c r="R41" s="13"/>
      <c r="S41" s="47">
        <v>14.01</v>
      </c>
      <c r="T41" s="47">
        <v>3</v>
      </c>
      <c r="U41" s="47"/>
      <c r="V41" s="47">
        <f t="shared" si="2"/>
        <v>30.164999999999999</v>
      </c>
      <c r="W41" s="47"/>
      <c r="X41" s="47">
        <v>2</v>
      </c>
      <c r="Y41" s="13">
        <v>3.49</v>
      </c>
    </row>
    <row r="42" spans="1:25" ht="30" x14ac:dyDescent="0.25">
      <c r="A42" s="145" t="s">
        <v>1290</v>
      </c>
      <c r="B42" s="145" t="s">
        <v>361</v>
      </c>
      <c r="C42" s="145" t="s">
        <v>1332</v>
      </c>
      <c r="D42" s="101" t="s">
        <v>1333</v>
      </c>
      <c r="E42" s="168">
        <v>44.2</v>
      </c>
      <c r="F42" s="145" t="s">
        <v>4</v>
      </c>
      <c r="G42" s="5" t="s">
        <v>437</v>
      </c>
      <c r="H42" s="181"/>
      <c r="I42" s="251"/>
      <c r="J42" s="5"/>
      <c r="K42" s="255" t="s">
        <v>2045</v>
      </c>
      <c r="L42" s="95" t="s">
        <v>10</v>
      </c>
      <c r="M42" s="179" t="s">
        <v>1777</v>
      </c>
      <c r="N42" s="161">
        <v>4800</v>
      </c>
      <c r="O42" s="161">
        <v>2125</v>
      </c>
      <c r="P42" s="11">
        <f t="shared" si="0"/>
        <v>10.199999999999999</v>
      </c>
      <c r="Q42" s="13"/>
      <c r="R42" s="13"/>
      <c r="S42" s="47">
        <v>26.54</v>
      </c>
      <c r="T42" s="47">
        <v>3</v>
      </c>
      <c r="U42" s="47"/>
      <c r="V42" s="47">
        <f t="shared" si="2"/>
        <v>64.87</v>
      </c>
      <c r="W42" s="47"/>
      <c r="X42" s="47"/>
      <c r="Y42" s="13">
        <v>4.55</v>
      </c>
    </row>
    <row r="43" spans="1:25" ht="30" x14ac:dyDescent="0.25">
      <c r="A43" s="145" t="s">
        <v>1290</v>
      </c>
      <c r="B43" s="145" t="s">
        <v>361</v>
      </c>
      <c r="C43" s="145" t="s">
        <v>1334</v>
      </c>
      <c r="D43" s="100" t="s">
        <v>55</v>
      </c>
      <c r="E43" s="168">
        <v>89.7</v>
      </c>
      <c r="F43" s="145" t="s">
        <v>4</v>
      </c>
      <c r="G43" s="5" t="s">
        <v>437</v>
      </c>
      <c r="H43" s="181"/>
      <c r="I43" s="251"/>
      <c r="J43" s="5"/>
      <c r="K43" s="255" t="s">
        <v>2045</v>
      </c>
      <c r="L43" s="95" t="s">
        <v>583</v>
      </c>
      <c r="M43" s="179" t="s">
        <v>1777</v>
      </c>
      <c r="N43" s="161">
        <v>30225</v>
      </c>
      <c r="O43" s="161">
        <v>2125</v>
      </c>
      <c r="P43" s="11">
        <f t="shared" si="0"/>
        <v>64.228124999999991</v>
      </c>
      <c r="Q43" s="13"/>
      <c r="R43" s="13"/>
      <c r="S43" s="47">
        <v>79.87</v>
      </c>
      <c r="T43" s="47">
        <v>2.6</v>
      </c>
      <c r="U43" s="11">
        <f>S43*T43-P43-Q43-Y43-X43</f>
        <v>143.433875</v>
      </c>
      <c r="V43" s="47"/>
      <c r="W43" s="47"/>
      <c r="X43" s="47"/>
      <c r="Y43" s="13"/>
    </row>
    <row r="44" spans="1:25" ht="30" x14ac:dyDescent="0.25">
      <c r="A44" s="145" t="s">
        <v>1290</v>
      </c>
      <c r="B44" s="145" t="s">
        <v>361</v>
      </c>
      <c r="C44" s="145" t="s">
        <v>1335</v>
      </c>
      <c r="D44" s="100" t="s">
        <v>815</v>
      </c>
      <c r="E44" s="168">
        <v>6.5</v>
      </c>
      <c r="F44" s="145" t="s">
        <v>4</v>
      </c>
      <c r="G44" s="5" t="s">
        <v>437</v>
      </c>
      <c r="H44" s="181"/>
      <c r="I44" s="251"/>
      <c r="J44" s="5"/>
      <c r="K44" s="255" t="s">
        <v>2045</v>
      </c>
      <c r="L44" s="95" t="s">
        <v>6</v>
      </c>
      <c r="M44" s="179" t="s">
        <v>7</v>
      </c>
      <c r="N44" s="161">
        <v>900</v>
      </c>
      <c r="O44" s="161">
        <v>2125</v>
      </c>
      <c r="P44" s="11">
        <f t="shared" si="0"/>
        <v>1.9124999999999999</v>
      </c>
      <c r="Q44" s="13"/>
      <c r="R44" s="13"/>
      <c r="S44" s="47">
        <v>10.68</v>
      </c>
      <c r="T44" s="47">
        <v>2.6</v>
      </c>
      <c r="U44" s="47"/>
      <c r="V44" s="47"/>
      <c r="W44" s="47"/>
      <c r="X44" s="47">
        <f>S44*T44-P44</f>
        <v>25.855499999999999</v>
      </c>
      <c r="Y44" s="13"/>
    </row>
    <row r="45" spans="1:25" ht="30" x14ac:dyDescent="0.25">
      <c r="A45" s="145" t="s">
        <v>1290</v>
      </c>
      <c r="B45" s="145" t="s">
        <v>361</v>
      </c>
      <c r="C45" s="145" t="s">
        <v>1336</v>
      </c>
      <c r="D45" s="100" t="s">
        <v>140</v>
      </c>
      <c r="E45" s="168">
        <v>23.2</v>
      </c>
      <c r="F45" s="145" t="s">
        <v>4</v>
      </c>
      <c r="G45" s="5" t="s">
        <v>437</v>
      </c>
      <c r="H45" s="181"/>
      <c r="I45" s="251"/>
      <c r="J45" s="5"/>
      <c r="K45" s="255" t="s">
        <v>2045</v>
      </c>
      <c r="L45" s="95" t="s">
        <v>10</v>
      </c>
      <c r="M45" s="179" t="s">
        <v>7</v>
      </c>
      <c r="N45" s="161">
        <v>2625</v>
      </c>
      <c r="O45" s="161">
        <v>2125</v>
      </c>
      <c r="P45" s="11">
        <f t="shared" si="0"/>
        <v>5.578125</v>
      </c>
      <c r="Q45" s="13"/>
      <c r="R45" s="13"/>
      <c r="S45" s="47">
        <v>20.239999999999998</v>
      </c>
      <c r="T45" s="47">
        <v>2.7</v>
      </c>
      <c r="U45" s="11">
        <f>S45*T45-P45-Q45-Y45-X45</f>
        <v>49.069874999999996</v>
      </c>
      <c r="V45" s="47"/>
      <c r="W45" s="47"/>
      <c r="X45" s="47"/>
      <c r="Y45" s="13"/>
    </row>
    <row r="46" spans="1:25" ht="30" x14ac:dyDescent="0.25">
      <c r="A46" s="145" t="s">
        <v>1290</v>
      </c>
      <c r="B46" s="145" t="s">
        <v>361</v>
      </c>
      <c r="C46" s="145" t="s">
        <v>1337</v>
      </c>
      <c r="D46" s="100" t="s">
        <v>140</v>
      </c>
      <c r="E46" s="168">
        <v>6.6</v>
      </c>
      <c r="F46" s="145" t="s">
        <v>4</v>
      </c>
      <c r="G46" s="5" t="s">
        <v>437</v>
      </c>
      <c r="H46" s="181"/>
      <c r="I46" s="251"/>
      <c r="J46" s="5"/>
      <c r="K46" s="255" t="s">
        <v>2045</v>
      </c>
      <c r="L46" s="95" t="s">
        <v>81</v>
      </c>
      <c r="M46" s="179" t="s">
        <v>7</v>
      </c>
      <c r="N46" s="161">
        <v>3550</v>
      </c>
      <c r="O46" s="161">
        <v>2125</v>
      </c>
      <c r="P46" s="11">
        <f t="shared" si="0"/>
        <v>7.5437499999999993</v>
      </c>
      <c r="Q46" s="13"/>
      <c r="R46" s="13"/>
      <c r="S46" s="47">
        <v>16.37</v>
      </c>
      <c r="T46" s="47">
        <v>2.6</v>
      </c>
      <c r="U46" s="47"/>
      <c r="V46" s="47"/>
      <c r="W46" s="47"/>
      <c r="X46" s="47">
        <f>S46*T46-P46-Y46</f>
        <v>33.778250000000007</v>
      </c>
      <c r="Y46" s="13">
        <v>1.24</v>
      </c>
    </row>
    <row r="47" spans="1:25" ht="30" x14ac:dyDescent="0.25">
      <c r="A47" s="145" t="s">
        <v>1290</v>
      </c>
      <c r="B47" s="145" t="s">
        <v>361</v>
      </c>
      <c r="C47" s="145" t="s">
        <v>1338</v>
      </c>
      <c r="D47" s="100" t="s">
        <v>220</v>
      </c>
      <c r="E47" s="168">
        <v>0.8</v>
      </c>
      <c r="F47" s="145" t="s">
        <v>4</v>
      </c>
      <c r="G47" s="5" t="s">
        <v>437</v>
      </c>
      <c r="H47" s="181"/>
      <c r="I47" s="251"/>
      <c r="J47" s="5"/>
      <c r="K47" s="255" t="s">
        <v>2045</v>
      </c>
      <c r="L47" s="95" t="s">
        <v>81</v>
      </c>
      <c r="M47" s="179" t="s">
        <v>7</v>
      </c>
      <c r="N47" s="161">
        <v>900</v>
      </c>
      <c r="O47" s="161">
        <v>2000</v>
      </c>
      <c r="P47" s="11">
        <f t="shared" si="0"/>
        <v>1.7999999999999998</v>
      </c>
      <c r="Q47" s="13"/>
      <c r="R47" s="13"/>
      <c r="S47" s="47">
        <v>0</v>
      </c>
      <c r="T47" s="47">
        <v>2.6</v>
      </c>
      <c r="U47" s="47"/>
      <c r="V47" s="47"/>
      <c r="W47" s="47"/>
      <c r="X47" s="47"/>
      <c r="Y47" s="13"/>
    </row>
    <row r="48" spans="1:25" ht="30" x14ac:dyDescent="0.25">
      <c r="A48" s="145" t="s">
        <v>1290</v>
      </c>
      <c r="B48" s="145" t="s">
        <v>361</v>
      </c>
      <c r="C48" s="145" t="s">
        <v>1338</v>
      </c>
      <c r="D48" s="100" t="s">
        <v>220</v>
      </c>
      <c r="E48" s="168">
        <v>0.8</v>
      </c>
      <c r="F48" s="145" t="s">
        <v>4</v>
      </c>
      <c r="G48" s="5" t="s">
        <v>437</v>
      </c>
      <c r="H48" s="181"/>
      <c r="I48" s="251"/>
      <c r="J48" s="5"/>
      <c r="K48" s="255" t="s">
        <v>2045</v>
      </c>
      <c r="L48" s="95" t="s">
        <v>81</v>
      </c>
      <c r="M48" s="179" t="s">
        <v>7</v>
      </c>
      <c r="N48" s="161">
        <v>900</v>
      </c>
      <c r="O48" s="161">
        <v>2000</v>
      </c>
      <c r="P48" s="11">
        <f t="shared" si="0"/>
        <v>1.7999999999999998</v>
      </c>
      <c r="Q48" s="13"/>
      <c r="R48" s="13"/>
      <c r="S48" s="47">
        <v>0</v>
      </c>
      <c r="T48" s="47">
        <v>2.6</v>
      </c>
      <c r="U48" s="47"/>
      <c r="V48" s="47"/>
      <c r="W48" s="47"/>
      <c r="X48" s="47"/>
      <c r="Y48" s="13"/>
    </row>
    <row r="49" spans="1:25" ht="30" x14ac:dyDescent="0.25">
      <c r="A49" s="145" t="s">
        <v>1290</v>
      </c>
      <c r="B49" s="145" t="s">
        <v>361</v>
      </c>
      <c r="C49" s="145" t="s">
        <v>1339</v>
      </c>
      <c r="D49" s="100" t="s">
        <v>3</v>
      </c>
      <c r="E49" s="168">
        <v>3.1</v>
      </c>
      <c r="F49" s="145" t="s">
        <v>4</v>
      </c>
      <c r="G49" s="5" t="s">
        <v>437</v>
      </c>
      <c r="H49" s="181"/>
      <c r="I49" s="251"/>
      <c r="J49" s="5"/>
      <c r="K49" s="255" t="s">
        <v>2045</v>
      </c>
      <c r="L49" s="95" t="s">
        <v>6</v>
      </c>
      <c r="M49" s="179" t="s">
        <v>7</v>
      </c>
      <c r="N49" s="161">
        <v>2500</v>
      </c>
      <c r="O49" s="161">
        <v>2125</v>
      </c>
      <c r="P49" s="11">
        <f t="shared" si="0"/>
        <v>5.3125</v>
      </c>
      <c r="Q49" s="13"/>
      <c r="R49" s="13"/>
      <c r="S49" s="47">
        <v>8.1999999999999993</v>
      </c>
      <c r="T49" s="47">
        <v>2.6</v>
      </c>
      <c r="U49" s="11">
        <f>S49*T49-P49-Q49-Y49-X49</f>
        <v>16.0075</v>
      </c>
      <c r="V49" s="47"/>
      <c r="W49" s="47"/>
      <c r="X49" s="47"/>
      <c r="Y49" s="13"/>
    </row>
    <row r="50" spans="1:25" ht="30" x14ac:dyDescent="0.25">
      <c r="A50" s="145" t="s">
        <v>1290</v>
      </c>
      <c r="B50" s="145" t="s">
        <v>361</v>
      </c>
      <c r="C50" s="145" t="s">
        <v>1340</v>
      </c>
      <c r="D50" s="100" t="s">
        <v>65</v>
      </c>
      <c r="E50" s="168">
        <v>2</v>
      </c>
      <c r="F50" s="145" t="s">
        <v>4</v>
      </c>
      <c r="G50" s="5" t="s">
        <v>437</v>
      </c>
      <c r="H50" s="181"/>
      <c r="I50" s="251"/>
      <c r="J50" s="5"/>
      <c r="K50" s="255" t="s">
        <v>2045</v>
      </c>
      <c r="L50" s="95" t="s">
        <v>6</v>
      </c>
      <c r="M50" s="179" t="s">
        <v>7</v>
      </c>
      <c r="N50" s="161">
        <v>750</v>
      </c>
      <c r="O50" s="161">
        <v>2125</v>
      </c>
      <c r="P50" s="11">
        <f t="shared" si="0"/>
        <v>1.59375</v>
      </c>
      <c r="Q50" s="13"/>
      <c r="R50" s="13"/>
      <c r="S50" s="47">
        <v>5.9</v>
      </c>
      <c r="T50" s="47">
        <v>2.6</v>
      </c>
      <c r="U50" s="47"/>
      <c r="V50" s="47"/>
      <c r="W50" s="47"/>
      <c r="X50" s="47">
        <f>S50*T50-P50</f>
        <v>13.746250000000002</v>
      </c>
      <c r="Y50" s="13"/>
    </row>
    <row r="51" spans="1:25" ht="30" x14ac:dyDescent="0.25">
      <c r="A51" s="145" t="s">
        <v>1290</v>
      </c>
      <c r="B51" s="145" t="s">
        <v>361</v>
      </c>
      <c r="C51" s="145" t="s">
        <v>1341</v>
      </c>
      <c r="D51" s="100" t="s">
        <v>1342</v>
      </c>
      <c r="E51" s="168">
        <v>12.2</v>
      </c>
      <c r="F51" s="145" t="s">
        <v>4</v>
      </c>
      <c r="G51" s="5" t="s">
        <v>437</v>
      </c>
      <c r="H51" s="181"/>
      <c r="I51" s="251"/>
      <c r="J51" s="5"/>
      <c r="K51" s="255" t="s">
        <v>2045</v>
      </c>
      <c r="L51" s="95" t="s">
        <v>6</v>
      </c>
      <c r="M51" s="179" t="s">
        <v>7</v>
      </c>
      <c r="N51" s="161">
        <v>3550</v>
      </c>
      <c r="O51" s="161">
        <v>2125</v>
      </c>
      <c r="P51" s="11">
        <f t="shared" si="0"/>
        <v>7.5437499999999993</v>
      </c>
      <c r="Q51" s="13"/>
      <c r="R51" s="13"/>
      <c r="S51" s="47">
        <v>17.440000000000001</v>
      </c>
      <c r="T51" s="47">
        <v>2.6</v>
      </c>
      <c r="U51" s="47"/>
      <c r="V51" s="47"/>
      <c r="W51" s="47"/>
      <c r="X51" s="47">
        <f>S51*T51-P51-Y51</f>
        <v>35.320250000000009</v>
      </c>
      <c r="Y51" s="13">
        <v>2.48</v>
      </c>
    </row>
    <row r="52" spans="1:25" ht="30" x14ac:dyDescent="0.25">
      <c r="A52" s="145" t="s">
        <v>1290</v>
      </c>
      <c r="B52" s="145" t="s">
        <v>361</v>
      </c>
      <c r="C52" s="145" t="s">
        <v>1343</v>
      </c>
      <c r="D52" s="100" t="s">
        <v>3</v>
      </c>
      <c r="E52" s="168">
        <v>3.1</v>
      </c>
      <c r="F52" s="145" t="s">
        <v>4</v>
      </c>
      <c r="G52" s="5" t="s">
        <v>437</v>
      </c>
      <c r="H52" s="181"/>
      <c r="I52" s="251"/>
      <c r="J52" s="5"/>
      <c r="K52" s="255" t="s">
        <v>2045</v>
      </c>
      <c r="L52" s="95" t="s">
        <v>6</v>
      </c>
      <c r="M52" s="179" t="s">
        <v>7</v>
      </c>
      <c r="N52" s="161">
        <v>2500</v>
      </c>
      <c r="O52" s="161">
        <v>2125</v>
      </c>
      <c r="P52" s="11">
        <f t="shared" si="0"/>
        <v>5.3125</v>
      </c>
      <c r="Q52" s="13"/>
      <c r="R52" s="13"/>
      <c r="S52" s="47">
        <v>7.25</v>
      </c>
      <c r="T52" s="47">
        <v>2.6</v>
      </c>
      <c r="U52" s="11">
        <f>S52*T52-P52-Q52-Y52-X52</f>
        <v>13.537500000000001</v>
      </c>
      <c r="V52" s="47"/>
      <c r="W52" s="47"/>
      <c r="X52" s="47"/>
      <c r="Y52" s="13"/>
    </row>
    <row r="53" spans="1:25" ht="30" x14ac:dyDescent="0.25">
      <c r="A53" s="145" t="s">
        <v>1290</v>
      </c>
      <c r="B53" s="145" t="s">
        <v>361</v>
      </c>
      <c r="C53" s="145" t="s">
        <v>1344</v>
      </c>
      <c r="D53" s="100" t="s">
        <v>65</v>
      </c>
      <c r="E53" s="168">
        <v>2</v>
      </c>
      <c r="F53" s="145" t="s">
        <v>4</v>
      </c>
      <c r="G53" s="5" t="s">
        <v>437</v>
      </c>
      <c r="H53" s="181"/>
      <c r="I53" s="251"/>
      <c r="J53" s="5"/>
      <c r="K53" s="255" t="s">
        <v>2045</v>
      </c>
      <c r="L53" s="95" t="s">
        <v>6</v>
      </c>
      <c r="M53" s="179" t="s">
        <v>7</v>
      </c>
      <c r="N53" s="161">
        <v>750</v>
      </c>
      <c r="O53" s="161">
        <v>2125</v>
      </c>
      <c r="P53" s="11">
        <f t="shared" si="0"/>
        <v>1.59375</v>
      </c>
      <c r="Q53" s="13"/>
      <c r="R53" s="13"/>
      <c r="S53" s="47">
        <v>5.9</v>
      </c>
      <c r="T53" s="47">
        <v>2.6</v>
      </c>
      <c r="U53" s="47"/>
      <c r="V53" s="47"/>
      <c r="W53" s="47"/>
      <c r="X53" s="47">
        <f>S53*T53-P53-Y53</f>
        <v>13.746250000000002</v>
      </c>
      <c r="Y53" s="13"/>
    </row>
    <row r="54" spans="1:25" ht="30" x14ac:dyDescent="0.25">
      <c r="A54" s="145" t="s">
        <v>1290</v>
      </c>
      <c r="B54" s="145" t="s">
        <v>361</v>
      </c>
      <c r="C54" s="145" t="s">
        <v>1345</v>
      </c>
      <c r="D54" s="100" t="s">
        <v>140</v>
      </c>
      <c r="E54" s="168">
        <v>22.9</v>
      </c>
      <c r="F54" s="145" t="s">
        <v>4</v>
      </c>
      <c r="G54" s="5" t="s">
        <v>437</v>
      </c>
      <c r="H54" s="181"/>
      <c r="I54" s="251"/>
      <c r="J54" s="5"/>
      <c r="K54" s="255" t="s">
        <v>2045</v>
      </c>
      <c r="L54" s="95" t="s">
        <v>10</v>
      </c>
      <c r="M54" s="179" t="s">
        <v>7</v>
      </c>
      <c r="N54" s="161">
        <v>2625</v>
      </c>
      <c r="O54" s="161">
        <v>2125</v>
      </c>
      <c r="P54" s="11">
        <f t="shared" si="0"/>
        <v>5.578125</v>
      </c>
      <c r="Q54" s="13"/>
      <c r="R54" s="13"/>
      <c r="S54" s="47">
        <v>20.09</v>
      </c>
      <c r="T54" s="47">
        <v>2.6</v>
      </c>
      <c r="U54" s="11">
        <f>S54*T54-P54-Q54-Y54-X54</f>
        <v>46.655875000000002</v>
      </c>
      <c r="V54" s="47"/>
      <c r="W54" s="47"/>
      <c r="X54" s="47"/>
      <c r="Y54" s="13"/>
    </row>
    <row r="55" spans="1:25" ht="30" x14ac:dyDescent="0.25">
      <c r="A55" s="145" t="s">
        <v>1290</v>
      </c>
      <c r="B55" s="145" t="s">
        <v>361</v>
      </c>
      <c r="C55" s="145" t="s">
        <v>1346</v>
      </c>
      <c r="D55" s="100" t="s">
        <v>140</v>
      </c>
      <c r="E55" s="168">
        <v>6.6</v>
      </c>
      <c r="F55" s="145" t="s">
        <v>4</v>
      </c>
      <c r="G55" s="5" t="s">
        <v>437</v>
      </c>
      <c r="H55" s="181"/>
      <c r="I55" s="251"/>
      <c r="J55" s="5"/>
      <c r="K55" s="255" t="s">
        <v>2045</v>
      </c>
      <c r="L55" s="95" t="s">
        <v>81</v>
      </c>
      <c r="M55" s="179" t="s">
        <v>7</v>
      </c>
      <c r="N55" s="161">
        <v>3550</v>
      </c>
      <c r="O55" s="161">
        <v>2125</v>
      </c>
      <c r="P55" s="11">
        <f t="shared" si="0"/>
        <v>7.5437499999999993</v>
      </c>
      <c r="Q55" s="13"/>
      <c r="R55" s="13"/>
      <c r="S55" s="47">
        <v>16.37</v>
      </c>
      <c r="T55" s="47">
        <v>2.6</v>
      </c>
      <c r="U55" s="47"/>
      <c r="V55" s="47"/>
      <c r="W55" s="47"/>
      <c r="X55" s="47">
        <f>S55*T55-P55-Y55</f>
        <v>33.778250000000007</v>
      </c>
      <c r="Y55" s="13">
        <v>1.24</v>
      </c>
    </row>
    <row r="56" spans="1:25" ht="30" x14ac:dyDescent="0.25">
      <c r="A56" s="145" t="s">
        <v>1290</v>
      </c>
      <c r="B56" s="145" t="s">
        <v>361</v>
      </c>
      <c r="C56" s="145" t="s">
        <v>1347</v>
      </c>
      <c r="D56" s="100" t="s">
        <v>220</v>
      </c>
      <c r="E56" s="168">
        <v>0.8</v>
      </c>
      <c r="F56" s="145" t="s">
        <v>4</v>
      </c>
      <c r="G56" s="5" t="s">
        <v>437</v>
      </c>
      <c r="H56" s="181"/>
      <c r="I56" s="251"/>
      <c r="J56" s="5"/>
      <c r="K56" s="255" t="s">
        <v>2045</v>
      </c>
      <c r="L56" s="95" t="s">
        <v>81</v>
      </c>
      <c r="M56" s="179" t="s">
        <v>7</v>
      </c>
      <c r="N56" s="161">
        <v>900</v>
      </c>
      <c r="O56" s="161">
        <v>2000</v>
      </c>
      <c r="P56" s="16">
        <f t="shared" si="0"/>
        <v>1.7999999999999998</v>
      </c>
      <c r="Q56" s="13"/>
      <c r="R56" s="13"/>
      <c r="S56" s="47">
        <v>0</v>
      </c>
      <c r="T56" s="47">
        <v>2.6</v>
      </c>
      <c r="U56" s="47"/>
      <c r="V56" s="47"/>
      <c r="W56" s="47"/>
      <c r="X56" s="47"/>
      <c r="Y56" s="13"/>
    </row>
    <row r="57" spans="1:25" ht="30" x14ac:dyDescent="0.25">
      <c r="A57" s="145" t="s">
        <v>1290</v>
      </c>
      <c r="B57" s="145" t="s">
        <v>361</v>
      </c>
      <c r="C57" s="145" t="s">
        <v>1348</v>
      </c>
      <c r="D57" s="100" t="s">
        <v>220</v>
      </c>
      <c r="E57" s="168">
        <v>0.8</v>
      </c>
      <c r="F57" s="145" t="s">
        <v>4</v>
      </c>
      <c r="G57" s="5" t="s">
        <v>437</v>
      </c>
      <c r="H57" s="181"/>
      <c r="I57" s="251"/>
      <c r="J57" s="5"/>
      <c r="K57" s="255" t="s">
        <v>2045</v>
      </c>
      <c r="L57" s="95" t="s">
        <v>81</v>
      </c>
      <c r="M57" s="179" t="s">
        <v>7</v>
      </c>
      <c r="N57" s="161">
        <v>900</v>
      </c>
      <c r="O57" s="161">
        <v>2000</v>
      </c>
      <c r="P57" s="16">
        <f t="shared" si="0"/>
        <v>1.7999999999999998</v>
      </c>
      <c r="Q57" s="13"/>
      <c r="R57" s="13"/>
      <c r="S57" s="47">
        <v>0</v>
      </c>
      <c r="T57" s="47">
        <v>2.6</v>
      </c>
      <c r="U57" s="47"/>
      <c r="V57" s="47"/>
      <c r="W57" s="47"/>
      <c r="X57" s="47"/>
      <c r="Y57" s="13"/>
    </row>
    <row r="58" spans="1:25" ht="30" x14ac:dyDescent="0.25">
      <c r="A58" s="151" t="s">
        <v>1290</v>
      </c>
      <c r="B58" s="151" t="s">
        <v>278</v>
      </c>
      <c r="C58" s="151" t="s">
        <v>1349</v>
      </c>
      <c r="D58" s="86" t="s">
        <v>1350</v>
      </c>
      <c r="E58" s="170">
        <v>15.6</v>
      </c>
      <c r="F58" s="151" t="s">
        <v>4</v>
      </c>
      <c r="G58" s="5" t="s">
        <v>437</v>
      </c>
      <c r="H58" s="181"/>
      <c r="I58" s="5"/>
      <c r="J58" s="5"/>
      <c r="K58" s="255" t="s">
        <v>2045</v>
      </c>
      <c r="L58" s="95" t="s">
        <v>583</v>
      </c>
      <c r="M58" s="219" t="s">
        <v>7</v>
      </c>
      <c r="N58" s="320">
        <v>2250</v>
      </c>
      <c r="O58" s="320">
        <v>2125</v>
      </c>
      <c r="P58" s="26">
        <f t="shared" si="0"/>
        <v>4.78125</v>
      </c>
      <c r="Q58" s="25"/>
      <c r="R58" s="25"/>
      <c r="S58" s="26">
        <v>17.3</v>
      </c>
      <c r="T58" s="26">
        <v>2.7</v>
      </c>
      <c r="U58" s="26"/>
      <c r="V58" s="26">
        <f>S58*T58-P58-Q58-Y58-X58</f>
        <v>41.928750000000008</v>
      </c>
      <c r="W58" s="26"/>
      <c r="X58" s="26"/>
      <c r="Y58" s="25"/>
    </row>
    <row r="59" spans="1:25" ht="30" x14ac:dyDescent="0.25">
      <c r="A59" s="151" t="s">
        <v>1290</v>
      </c>
      <c r="B59" s="151" t="s">
        <v>278</v>
      </c>
      <c r="C59" s="151" t="s">
        <v>1351</v>
      </c>
      <c r="D59" s="86" t="s">
        <v>224</v>
      </c>
      <c r="E59" s="170">
        <v>4</v>
      </c>
      <c r="F59" s="151" t="s">
        <v>4</v>
      </c>
      <c r="G59" s="5" t="s">
        <v>437</v>
      </c>
      <c r="H59" s="181"/>
      <c r="I59" s="5"/>
      <c r="J59" s="5"/>
      <c r="K59" s="255" t="s">
        <v>2045</v>
      </c>
      <c r="L59" s="95" t="s">
        <v>6</v>
      </c>
      <c r="M59" s="179" t="s">
        <v>7</v>
      </c>
      <c r="N59" s="161">
        <v>875</v>
      </c>
      <c r="O59" s="161">
        <v>2125</v>
      </c>
      <c r="P59" s="47">
        <f t="shared" si="0"/>
        <v>1.859375</v>
      </c>
      <c r="Q59" s="13"/>
      <c r="R59" s="13"/>
      <c r="S59" s="47">
        <v>8.1199999999999992</v>
      </c>
      <c r="T59" s="47">
        <v>2.6</v>
      </c>
      <c r="U59" s="26"/>
      <c r="V59" s="47"/>
      <c r="W59" s="47"/>
      <c r="X59" s="47">
        <f>S59*T59-P59-Y59</f>
        <v>19.252624999999998</v>
      </c>
      <c r="Y59" s="13"/>
    </row>
    <row r="60" spans="1:25" ht="30" x14ac:dyDescent="0.25">
      <c r="A60" s="410" t="s">
        <v>1290</v>
      </c>
      <c r="B60" s="410" t="s">
        <v>278</v>
      </c>
      <c r="C60" s="410" t="s">
        <v>1352</v>
      </c>
      <c r="D60" s="411" t="s">
        <v>224</v>
      </c>
      <c r="E60" s="170">
        <v>3.7</v>
      </c>
      <c r="F60" s="1" t="s">
        <v>4</v>
      </c>
      <c r="G60" s="5" t="s">
        <v>437</v>
      </c>
      <c r="H60" s="181"/>
      <c r="I60" s="5"/>
      <c r="J60" s="5"/>
      <c r="K60" s="255" t="s">
        <v>2045</v>
      </c>
      <c r="L60" s="95" t="s">
        <v>6</v>
      </c>
      <c r="M60" s="179" t="s">
        <v>7</v>
      </c>
      <c r="N60" s="161">
        <v>875</v>
      </c>
      <c r="O60" s="161">
        <v>2125</v>
      </c>
      <c r="P60" s="47">
        <f t="shared" si="0"/>
        <v>1.859375</v>
      </c>
      <c r="Q60" s="13"/>
      <c r="R60" s="13"/>
      <c r="S60" s="47">
        <v>8.1199999999999992</v>
      </c>
      <c r="T60" s="47">
        <v>2.6</v>
      </c>
      <c r="U60" s="26"/>
      <c r="V60" s="47"/>
      <c r="W60" s="47"/>
      <c r="X60" s="47">
        <f>S60*T60-P60-Y60</f>
        <v>19.252624999999998</v>
      </c>
      <c r="Y60" s="13"/>
    </row>
    <row r="61" spans="1:25" ht="30" x14ac:dyDescent="0.25">
      <c r="A61" s="151" t="s">
        <v>1290</v>
      </c>
      <c r="B61" s="151" t="s">
        <v>278</v>
      </c>
      <c r="C61" s="151" t="s">
        <v>1353</v>
      </c>
      <c r="D61" s="86" t="s">
        <v>1354</v>
      </c>
      <c r="E61" s="170">
        <v>109.1</v>
      </c>
      <c r="F61" s="151" t="s">
        <v>4</v>
      </c>
      <c r="G61" s="5" t="s">
        <v>437</v>
      </c>
      <c r="H61" s="181"/>
      <c r="I61" s="5"/>
      <c r="J61" s="5"/>
      <c r="K61" s="255" t="s">
        <v>2045</v>
      </c>
      <c r="L61" s="95" t="s">
        <v>10</v>
      </c>
      <c r="M61" s="179" t="s">
        <v>1777</v>
      </c>
      <c r="N61" s="161">
        <v>3000</v>
      </c>
      <c r="O61" s="161">
        <v>2125</v>
      </c>
      <c r="P61" s="47">
        <f t="shared" si="0"/>
        <v>6.375</v>
      </c>
      <c r="Q61" s="13">
        <v>19.95</v>
      </c>
      <c r="R61" s="13"/>
      <c r="S61" s="47">
        <v>43.63</v>
      </c>
      <c r="T61" s="47">
        <v>3</v>
      </c>
      <c r="U61" s="47"/>
      <c r="V61" s="47">
        <f>S61*T61-P61-Q61-Y61-X61</f>
        <v>104.56500000000001</v>
      </c>
      <c r="W61" s="47"/>
      <c r="X61" s="47"/>
      <c r="Y61" s="13"/>
    </row>
    <row r="62" spans="1:25" ht="30" x14ac:dyDescent="0.25">
      <c r="A62" s="151" t="s">
        <v>1290</v>
      </c>
      <c r="B62" s="151" t="s">
        <v>278</v>
      </c>
      <c r="C62" s="151" t="s">
        <v>1355</v>
      </c>
      <c r="D62" s="86" t="s">
        <v>1356</v>
      </c>
      <c r="E62" s="170">
        <v>20.2</v>
      </c>
      <c r="F62" s="151" t="s">
        <v>4</v>
      </c>
      <c r="G62" s="5" t="s">
        <v>437</v>
      </c>
      <c r="H62" s="181"/>
      <c r="I62" s="5"/>
      <c r="J62" s="5"/>
      <c r="K62" s="255" t="s">
        <v>2045</v>
      </c>
      <c r="L62" s="95" t="s">
        <v>6</v>
      </c>
      <c r="M62" s="179" t="s">
        <v>7</v>
      </c>
      <c r="N62" s="161">
        <v>3000</v>
      </c>
      <c r="O62" s="161">
        <v>2125</v>
      </c>
      <c r="P62" s="47">
        <f t="shared" si="0"/>
        <v>6.375</v>
      </c>
      <c r="Q62" s="13"/>
      <c r="R62" s="13"/>
      <c r="S62" s="47">
        <v>18.89</v>
      </c>
      <c r="T62" s="47">
        <v>3</v>
      </c>
      <c r="U62" s="47"/>
      <c r="V62" s="47"/>
      <c r="W62" s="47"/>
      <c r="X62" s="47">
        <f>S62*T62-P62-Y62</f>
        <v>50.295000000000002</v>
      </c>
      <c r="Y62" s="13"/>
    </row>
    <row r="63" spans="1:25" ht="30" x14ac:dyDescent="0.25">
      <c r="A63" s="151" t="s">
        <v>1290</v>
      </c>
      <c r="B63" s="151" t="s">
        <v>278</v>
      </c>
      <c r="C63" s="151" t="s">
        <v>1357</v>
      </c>
      <c r="D63" s="86" t="s">
        <v>98</v>
      </c>
      <c r="E63" s="170">
        <v>23.1</v>
      </c>
      <c r="F63" s="151" t="s">
        <v>4</v>
      </c>
      <c r="G63" s="5" t="s">
        <v>437</v>
      </c>
      <c r="H63" s="181"/>
      <c r="I63" s="5"/>
      <c r="J63" s="5"/>
      <c r="K63" s="255" t="s">
        <v>2045</v>
      </c>
      <c r="L63" s="95" t="s">
        <v>10</v>
      </c>
      <c r="M63" s="179" t="s">
        <v>7</v>
      </c>
      <c r="N63" s="161">
        <v>875</v>
      </c>
      <c r="O63" s="161">
        <v>2125</v>
      </c>
      <c r="P63" s="47">
        <f t="shared" si="0"/>
        <v>1.859375</v>
      </c>
      <c r="Q63" s="13">
        <v>4.99</v>
      </c>
      <c r="R63" s="13"/>
      <c r="S63" s="47">
        <v>24.2</v>
      </c>
      <c r="T63" s="47">
        <v>3</v>
      </c>
      <c r="U63" s="16">
        <f>S63*T63-P63-Q63-Y63-X63</f>
        <v>65.750624999999999</v>
      </c>
      <c r="V63" s="47"/>
      <c r="W63" s="47"/>
      <c r="X63" s="47"/>
      <c r="Y63" s="13"/>
    </row>
    <row r="64" spans="1:25" ht="30" x14ac:dyDescent="0.25">
      <c r="A64" s="151" t="s">
        <v>1290</v>
      </c>
      <c r="B64" s="151" t="s">
        <v>278</v>
      </c>
      <c r="C64" s="151" t="s">
        <v>1358</v>
      </c>
      <c r="D64" s="86" t="s">
        <v>1359</v>
      </c>
      <c r="E64" s="170">
        <v>10.9</v>
      </c>
      <c r="F64" s="151" t="s">
        <v>4</v>
      </c>
      <c r="G64" s="5" t="s">
        <v>437</v>
      </c>
      <c r="H64" s="181"/>
      <c r="I64" s="5"/>
      <c r="J64" s="5"/>
      <c r="K64" s="255" t="s">
        <v>2045</v>
      </c>
      <c r="L64" s="95" t="s">
        <v>6</v>
      </c>
      <c r="M64" s="179" t="s">
        <v>7</v>
      </c>
      <c r="N64" s="161">
        <v>1500</v>
      </c>
      <c r="O64" s="161">
        <v>2125</v>
      </c>
      <c r="P64" s="47">
        <f t="shared" si="0"/>
        <v>3.1875</v>
      </c>
      <c r="Q64" s="13">
        <v>4.99</v>
      </c>
      <c r="R64" s="13"/>
      <c r="S64" s="47">
        <v>13.2</v>
      </c>
      <c r="T64" s="47">
        <v>3</v>
      </c>
      <c r="U64" s="47"/>
      <c r="V64" s="47"/>
      <c r="W64" s="47"/>
      <c r="X64" s="47">
        <f>S64*T64-P64-Y64</f>
        <v>36.412499999999994</v>
      </c>
      <c r="Y64" s="13"/>
    </row>
    <row r="65" spans="1:25" ht="30" x14ac:dyDescent="0.25">
      <c r="A65" s="151" t="s">
        <v>1290</v>
      </c>
      <c r="B65" s="151" t="s">
        <v>278</v>
      </c>
      <c r="C65" s="151" t="s">
        <v>1360</v>
      </c>
      <c r="D65" s="86" t="s">
        <v>1361</v>
      </c>
      <c r="E65" s="170">
        <v>2</v>
      </c>
      <c r="F65" s="151" t="s">
        <v>4</v>
      </c>
      <c r="G65" s="5" t="s">
        <v>437</v>
      </c>
      <c r="H65" s="181"/>
      <c r="I65" s="5"/>
      <c r="J65" s="5"/>
      <c r="K65" s="255" t="s">
        <v>2045</v>
      </c>
      <c r="L65" s="95" t="s">
        <v>81</v>
      </c>
      <c r="M65" s="179" t="s">
        <v>7</v>
      </c>
      <c r="N65" s="161">
        <v>900</v>
      </c>
      <c r="O65" s="161">
        <v>2125</v>
      </c>
      <c r="P65" s="47">
        <f t="shared" si="0"/>
        <v>1.9124999999999999</v>
      </c>
      <c r="Q65" s="13"/>
      <c r="R65" s="13"/>
      <c r="S65" s="47">
        <v>5.53</v>
      </c>
      <c r="T65" s="47">
        <v>2.6</v>
      </c>
      <c r="U65" s="47"/>
      <c r="V65" s="47"/>
      <c r="W65" s="47"/>
      <c r="X65" s="47">
        <f>S65*T65-P65-Y65</f>
        <v>12.465500000000002</v>
      </c>
      <c r="Y65" s="13"/>
    </row>
    <row r="66" spans="1:25" ht="30" x14ac:dyDescent="0.25">
      <c r="A66" s="151" t="s">
        <v>1290</v>
      </c>
      <c r="B66" s="151" t="s">
        <v>278</v>
      </c>
      <c r="C66" s="151" t="s">
        <v>1362</v>
      </c>
      <c r="D66" s="86" t="s">
        <v>3</v>
      </c>
      <c r="E66" s="170">
        <v>1.9</v>
      </c>
      <c r="F66" s="151" t="s">
        <v>4</v>
      </c>
      <c r="G66" s="5" t="s">
        <v>437</v>
      </c>
      <c r="H66" s="181"/>
      <c r="I66" s="5"/>
      <c r="J66" s="5"/>
      <c r="K66" s="255" t="s">
        <v>2045</v>
      </c>
      <c r="L66" s="95" t="s">
        <v>10</v>
      </c>
      <c r="M66" s="179" t="s">
        <v>7</v>
      </c>
      <c r="N66" s="161">
        <v>3250</v>
      </c>
      <c r="O66" s="161">
        <v>2125</v>
      </c>
      <c r="P66" s="47">
        <f t="shared" si="0"/>
        <v>6.90625</v>
      </c>
      <c r="Q66" s="13"/>
      <c r="R66" s="13"/>
      <c r="S66" s="47">
        <v>5.8</v>
      </c>
      <c r="T66" s="47">
        <v>2.7</v>
      </c>
      <c r="U66" s="16">
        <f>S66*T66-P66-Q66-Y66-X66</f>
        <v>8.7537500000000001</v>
      </c>
      <c r="V66" s="47"/>
      <c r="W66" s="47"/>
      <c r="X66" s="47"/>
      <c r="Y66" s="13"/>
    </row>
    <row r="67" spans="1:25" ht="30" x14ac:dyDescent="0.25">
      <c r="A67" s="151" t="s">
        <v>1290</v>
      </c>
      <c r="B67" s="151" t="s">
        <v>278</v>
      </c>
      <c r="C67" s="151" t="s">
        <v>1363</v>
      </c>
      <c r="D67" s="86" t="s">
        <v>65</v>
      </c>
      <c r="E67" s="170">
        <v>1.1000000000000001</v>
      </c>
      <c r="F67" s="151" t="s">
        <v>4</v>
      </c>
      <c r="G67" s="5" t="s">
        <v>437</v>
      </c>
      <c r="H67" s="181"/>
      <c r="I67" s="5"/>
      <c r="J67" s="5"/>
      <c r="K67" s="255" t="s">
        <v>2045</v>
      </c>
      <c r="L67" s="95" t="s">
        <v>6</v>
      </c>
      <c r="M67" s="179" t="s">
        <v>7</v>
      </c>
      <c r="N67" s="161">
        <v>750</v>
      </c>
      <c r="O67" s="161">
        <v>2125</v>
      </c>
      <c r="P67" s="47">
        <f t="shared" si="0"/>
        <v>1.59375</v>
      </c>
      <c r="Q67" s="13"/>
      <c r="R67" s="13"/>
      <c r="S67" s="47">
        <v>4.2</v>
      </c>
      <c r="T67" s="47">
        <v>2.6</v>
      </c>
      <c r="U67" s="26"/>
      <c r="V67" s="47"/>
      <c r="W67" s="47"/>
      <c r="X67" s="47">
        <f>S67*T67-P67-Y67</f>
        <v>9.3262500000000017</v>
      </c>
      <c r="Y67" s="13"/>
    </row>
    <row r="68" spans="1:25" ht="30" x14ac:dyDescent="0.25">
      <c r="A68" s="151" t="s">
        <v>1290</v>
      </c>
      <c r="B68" s="151" t="s">
        <v>278</v>
      </c>
      <c r="C68" s="151" t="s">
        <v>1364</v>
      </c>
      <c r="D68" s="86" t="s">
        <v>220</v>
      </c>
      <c r="E68" s="170">
        <v>1.2</v>
      </c>
      <c r="F68" s="151" t="s">
        <v>4</v>
      </c>
      <c r="G68" s="5" t="s">
        <v>437</v>
      </c>
      <c r="H68" s="181"/>
      <c r="I68" s="5"/>
      <c r="J68" s="5"/>
      <c r="K68" s="255" t="s">
        <v>2045</v>
      </c>
      <c r="L68" s="95" t="s">
        <v>81</v>
      </c>
      <c r="M68" s="179" t="s">
        <v>7</v>
      </c>
      <c r="N68" s="161">
        <v>750</v>
      </c>
      <c r="O68" s="161">
        <v>2125</v>
      </c>
      <c r="P68" s="47">
        <f t="shared" si="0"/>
        <v>1.59375</v>
      </c>
      <c r="Q68" s="13"/>
      <c r="R68" s="13"/>
      <c r="S68" s="47">
        <v>4.5199999999999996</v>
      </c>
      <c r="T68" s="47">
        <v>2.6</v>
      </c>
      <c r="U68" s="47"/>
      <c r="V68" s="47"/>
      <c r="W68" s="47"/>
      <c r="X68" s="47">
        <f>S68*T68-P68-Y68</f>
        <v>10.158249999999999</v>
      </c>
      <c r="Y68" s="13"/>
    </row>
    <row r="69" spans="1:25" ht="30" x14ac:dyDescent="0.25">
      <c r="A69" s="151" t="s">
        <v>1290</v>
      </c>
      <c r="B69" s="151" t="s">
        <v>278</v>
      </c>
      <c r="C69" s="151" t="s">
        <v>1365</v>
      </c>
      <c r="D69" s="86" t="s">
        <v>1366</v>
      </c>
      <c r="E69" s="170">
        <v>9.5</v>
      </c>
      <c r="F69" s="151" t="s">
        <v>4</v>
      </c>
      <c r="G69" s="5" t="s">
        <v>437</v>
      </c>
      <c r="H69" s="181"/>
      <c r="I69" s="5"/>
      <c r="J69" s="5"/>
      <c r="K69" s="255" t="s">
        <v>2045</v>
      </c>
      <c r="L69" s="95" t="s">
        <v>10</v>
      </c>
      <c r="M69" s="179" t="s">
        <v>7</v>
      </c>
      <c r="N69" s="161">
        <v>875</v>
      </c>
      <c r="O69" s="161">
        <v>2125</v>
      </c>
      <c r="P69" s="47">
        <f t="shared" ref="P69:P132" si="3">N69*O69*0.000001</f>
        <v>1.859375</v>
      </c>
      <c r="Q69" s="13">
        <v>3.45</v>
      </c>
      <c r="R69" s="13">
        <v>1.1499999999999999</v>
      </c>
      <c r="S69" s="47">
        <v>12.67</v>
      </c>
      <c r="T69" s="47">
        <v>2.7</v>
      </c>
      <c r="U69" s="16">
        <f>S69*T69-P69-Q69-Y69-X69</f>
        <v>28.899625000000004</v>
      </c>
      <c r="V69" s="47"/>
      <c r="W69" s="47"/>
      <c r="X69" s="47"/>
      <c r="Y69" s="13"/>
    </row>
    <row r="70" spans="1:25" ht="30" x14ac:dyDescent="0.25">
      <c r="A70" s="151" t="s">
        <v>1290</v>
      </c>
      <c r="B70" s="151" t="s">
        <v>278</v>
      </c>
      <c r="C70" s="151" t="s">
        <v>1367</v>
      </c>
      <c r="D70" s="86" t="s">
        <v>3</v>
      </c>
      <c r="E70" s="170">
        <v>2</v>
      </c>
      <c r="F70" s="151" t="s">
        <v>4</v>
      </c>
      <c r="G70" s="5" t="s">
        <v>437</v>
      </c>
      <c r="H70" s="181"/>
      <c r="I70" s="5"/>
      <c r="J70" s="5"/>
      <c r="K70" s="255" t="s">
        <v>2045</v>
      </c>
      <c r="L70" s="95" t="s">
        <v>10</v>
      </c>
      <c r="M70" s="179" t="s">
        <v>7</v>
      </c>
      <c r="N70" s="161">
        <v>2500</v>
      </c>
      <c r="O70" s="161">
        <v>2125</v>
      </c>
      <c r="P70" s="47">
        <f t="shared" si="3"/>
        <v>5.3125</v>
      </c>
      <c r="Q70" s="13"/>
      <c r="R70" s="13"/>
      <c r="S70" s="47">
        <v>5.99</v>
      </c>
      <c r="T70" s="47">
        <v>2.7</v>
      </c>
      <c r="U70" s="11">
        <f>S70*T70-P70-Q70-Y70-X70</f>
        <v>10.860500000000002</v>
      </c>
      <c r="V70" s="47"/>
      <c r="W70" s="47"/>
      <c r="X70" s="47"/>
      <c r="Y70" s="13"/>
    </row>
    <row r="71" spans="1:25" ht="30" x14ac:dyDescent="0.25">
      <c r="A71" s="151" t="s">
        <v>1290</v>
      </c>
      <c r="B71" s="151" t="s">
        <v>278</v>
      </c>
      <c r="C71" s="151" t="s">
        <v>1368</v>
      </c>
      <c r="D71" s="86" t="s">
        <v>65</v>
      </c>
      <c r="E71" s="170">
        <v>1.6</v>
      </c>
      <c r="F71" s="151" t="s">
        <v>4</v>
      </c>
      <c r="G71" s="5" t="s">
        <v>437</v>
      </c>
      <c r="H71" s="181"/>
      <c r="I71" s="5"/>
      <c r="J71" s="5"/>
      <c r="K71" s="255" t="s">
        <v>2045</v>
      </c>
      <c r="L71" s="95" t="s">
        <v>6</v>
      </c>
      <c r="M71" s="179" t="s">
        <v>7</v>
      </c>
      <c r="N71" s="161">
        <v>750</v>
      </c>
      <c r="O71" s="161">
        <v>2125</v>
      </c>
      <c r="P71" s="47">
        <f t="shared" si="3"/>
        <v>1.59375</v>
      </c>
      <c r="Q71" s="13"/>
      <c r="R71" s="13"/>
      <c r="S71" s="47">
        <v>5.26</v>
      </c>
      <c r="T71" s="47">
        <v>2.6</v>
      </c>
      <c r="U71" s="47"/>
      <c r="V71" s="47"/>
      <c r="W71" s="47"/>
      <c r="X71" s="47">
        <f>S71*T71-P71-Y71</f>
        <v>12.08225</v>
      </c>
      <c r="Y71" s="13"/>
    </row>
    <row r="72" spans="1:25" ht="30" x14ac:dyDescent="0.25">
      <c r="A72" s="151" t="s">
        <v>1290</v>
      </c>
      <c r="B72" s="151" t="s">
        <v>278</v>
      </c>
      <c r="C72" s="151" t="s">
        <v>1369</v>
      </c>
      <c r="D72" s="86" t="s">
        <v>1366</v>
      </c>
      <c r="E72" s="170">
        <v>15.8</v>
      </c>
      <c r="F72" s="151" t="s">
        <v>4</v>
      </c>
      <c r="G72" s="5" t="s">
        <v>437</v>
      </c>
      <c r="H72" s="181"/>
      <c r="I72" s="5"/>
      <c r="J72" s="5"/>
      <c r="K72" s="255" t="s">
        <v>2045</v>
      </c>
      <c r="L72" s="95" t="s">
        <v>10</v>
      </c>
      <c r="M72" s="179" t="s">
        <v>7</v>
      </c>
      <c r="N72" s="161">
        <v>1625</v>
      </c>
      <c r="O72" s="161">
        <v>2125</v>
      </c>
      <c r="P72" s="47">
        <f t="shared" si="3"/>
        <v>3.453125</v>
      </c>
      <c r="Q72" s="13">
        <v>3.45</v>
      </c>
      <c r="R72" s="13">
        <v>1.1499999999999999</v>
      </c>
      <c r="S72" s="47">
        <v>15.89</v>
      </c>
      <c r="T72" s="47">
        <v>2.7</v>
      </c>
      <c r="U72" s="16">
        <f>S72*T72-P72-Q72-Y72-X72</f>
        <v>35.999875000000003</v>
      </c>
      <c r="V72" s="47"/>
      <c r="W72" s="47"/>
      <c r="X72" s="47"/>
      <c r="Y72" s="13"/>
    </row>
    <row r="73" spans="1:25" ht="30" x14ac:dyDescent="0.25">
      <c r="A73" s="151" t="s">
        <v>1290</v>
      </c>
      <c r="B73" s="151" t="s">
        <v>278</v>
      </c>
      <c r="C73" s="151" t="s">
        <v>1370</v>
      </c>
      <c r="D73" s="86" t="s">
        <v>220</v>
      </c>
      <c r="E73" s="170">
        <v>3.5</v>
      </c>
      <c r="F73" s="151" t="s">
        <v>4</v>
      </c>
      <c r="G73" s="5" t="s">
        <v>437</v>
      </c>
      <c r="H73" s="181"/>
      <c r="I73" s="5"/>
      <c r="J73" s="5"/>
      <c r="K73" s="255" t="s">
        <v>2045</v>
      </c>
      <c r="L73" s="95" t="s">
        <v>81</v>
      </c>
      <c r="M73" s="179" t="s">
        <v>7</v>
      </c>
      <c r="N73" s="161">
        <v>750</v>
      </c>
      <c r="O73" s="161">
        <v>2125</v>
      </c>
      <c r="P73" s="47">
        <f t="shared" si="3"/>
        <v>1.59375</v>
      </c>
      <c r="Q73" s="13"/>
      <c r="R73" s="13"/>
      <c r="S73" s="47">
        <v>9.4</v>
      </c>
      <c r="T73" s="47">
        <v>2.6</v>
      </c>
      <c r="U73" s="26"/>
      <c r="V73" s="47"/>
      <c r="W73" s="47"/>
      <c r="X73" s="47">
        <f>S73*T73-P73-Y73</f>
        <v>22.846250000000001</v>
      </c>
      <c r="Y73" s="13"/>
    </row>
    <row r="74" spans="1:25" ht="30" x14ac:dyDescent="0.25">
      <c r="A74" s="151" t="s">
        <v>1290</v>
      </c>
      <c r="B74" s="151" t="s">
        <v>278</v>
      </c>
      <c r="C74" s="151" t="s">
        <v>1371</v>
      </c>
      <c r="D74" s="86" t="s">
        <v>152</v>
      </c>
      <c r="E74" s="170">
        <v>11</v>
      </c>
      <c r="F74" s="151" t="s">
        <v>4</v>
      </c>
      <c r="G74" s="5" t="s">
        <v>437</v>
      </c>
      <c r="H74" s="181"/>
      <c r="I74" s="5"/>
      <c r="J74" s="5"/>
      <c r="K74" s="255" t="s">
        <v>2045</v>
      </c>
      <c r="L74" s="95" t="s">
        <v>10</v>
      </c>
      <c r="M74" s="179" t="s">
        <v>7</v>
      </c>
      <c r="N74" s="161">
        <v>1750</v>
      </c>
      <c r="O74" s="161">
        <v>2125</v>
      </c>
      <c r="P74" s="47">
        <f t="shared" si="3"/>
        <v>3.71875</v>
      </c>
      <c r="Q74" s="13">
        <v>3.45</v>
      </c>
      <c r="R74" s="13">
        <v>1.1499999999999999</v>
      </c>
      <c r="S74" s="47">
        <v>13.45</v>
      </c>
      <c r="T74" s="47">
        <v>2.7</v>
      </c>
      <c r="U74" s="11">
        <f>S74*T74-P74-Q74-Y74-X74</f>
        <v>29.146249999999998</v>
      </c>
      <c r="V74" s="47"/>
      <c r="W74" s="47"/>
      <c r="X74" s="47"/>
      <c r="Y74" s="13"/>
    </row>
    <row r="75" spans="1:25" ht="30" x14ac:dyDescent="0.25">
      <c r="A75" s="151" t="s">
        <v>1290</v>
      </c>
      <c r="B75" s="151" t="s">
        <v>278</v>
      </c>
      <c r="C75" s="151" t="s">
        <v>1372</v>
      </c>
      <c r="D75" s="86" t="s">
        <v>219</v>
      </c>
      <c r="E75" s="170">
        <v>2.6</v>
      </c>
      <c r="F75" s="151" t="s">
        <v>4</v>
      </c>
      <c r="G75" s="5" t="s">
        <v>437</v>
      </c>
      <c r="H75" s="181"/>
      <c r="I75" s="5"/>
      <c r="J75" s="5"/>
      <c r="K75" s="255" t="s">
        <v>2045</v>
      </c>
      <c r="L75" s="95" t="s">
        <v>6</v>
      </c>
      <c r="M75" s="179" t="s">
        <v>7</v>
      </c>
      <c r="N75" s="161">
        <v>3250</v>
      </c>
      <c r="O75" s="161">
        <v>2125</v>
      </c>
      <c r="P75" s="47">
        <f t="shared" si="3"/>
        <v>6.90625</v>
      </c>
      <c r="Q75" s="13"/>
      <c r="R75" s="13"/>
      <c r="S75" s="47">
        <v>6.63</v>
      </c>
      <c r="T75" s="47">
        <v>2.7</v>
      </c>
      <c r="U75" s="16">
        <f>S75*T75-P75-Q75-Y75-X75</f>
        <v>8.1347500000000004</v>
      </c>
      <c r="V75" s="47"/>
      <c r="W75" s="47"/>
      <c r="X75" s="47">
        <v>2.86</v>
      </c>
      <c r="Y75" s="13"/>
    </row>
    <row r="76" spans="1:25" ht="30" x14ac:dyDescent="0.25">
      <c r="A76" s="151" t="s">
        <v>1290</v>
      </c>
      <c r="B76" s="151" t="s">
        <v>278</v>
      </c>
      <c r="C76" s="151" t="s">
        <v>1373</v>
      </c>
      <c r="D76" s="86" t="s">
        <v>65</v>
      </c>
      <c r="E76" s="170">
        <v>1.1000000000000001</v>
      </c>
      <c r="F76" s="151" t="s">
        <v>4</v>
      </c>
      <c r="G76" s="5" t="s">
        <v>437</v>
      </c>
      <c r="H76" s="181"/>
      <c r="I76" s="5"/>
      <c r="J76" s="5"/>
      <c r="K76" s="255" t="s">
        <v>2045</v>
      </c>
      <c r="L76" s="95" t="s">
        <v>6</v>
      </c>
      <c r="M76" s="179" t="s">
        <v>7</v>
      </c>
      <c r="N76" s="161">
        <v>750</v>
      </c>
      <c r="O76" s="161">
        <v>2125</v>
      </c>
      <c r="P76" s="47">
        <f t="shared" si="3"/>
        <v>1.59375</v>
      </c>
      <c r="Q76" s="13"/>
      <c r="R76" s="13"/>
      <c r="S76" s="47">
        <v>4.2</v>
      </c>
      <c r="T76" s="47">
        <v>2.6</v>
      </c>
      <c r="U76" s="26"/>
      <c r="V76" s="47"/>
      <c r="W76" s="47"/>
      <c r="X76" s="47">
        <f>S76*T76-P76-Y76</f>
        <v>9.3262500000000017</v>
      </c>
      <c r="Y76" s="13"/>
    </row>
    <row r="77" spans="1:25" ht="30" x14ac:dyDescent="0.25">
      <c r="A77" s="151" t="s">
        <v>1290</v>
      </c>
      <c r="B77" s="151" t="s">
        <v>278</v>
      </c>
      <c r="C77" s="151" t="s">
        <v>1374</v>
      </c>
      <c r="D77" s="86" t="s">
        <v>220</v>
      </c>
      <c r="E77" s="170">
        <v>1.2</v>
      </c>
      <c r="F77" s="151" t="s">
        <v>4</v>
      </c>
      <c r="G77" s="5" t="s">
        <v>437</v>
      </c>
      <c r="H77" s="181"/>
      <c r="I77" s="5"/>
      <c r="J77" s="5"/>
      <c r="K77" s="255" t="s">
        <v>2045</v>
      </c>
      <c r="L77" s="95" t="s">
        <v>81</v>
      </c>
      <c r="M77" s="179" t="s">
        <v>7</v>
      </c>
      <c r="N77" s="161">
        <v>750</v>
      </c>
      <c r="O77" s="161">
        <v>2125</v>
      </c>
      <c r="P77" s="47">
        <f t="shared" si="3"/>
        <v>1.59375</v>
      </c>
      <c r="Q77" s="13"/>
      <c r="R77" s="13"/>
      <c r="S77" s="47">
        <v>4.5199999999999996</v>
      </c>
      <c r="T77" s="47">
        <v>2.6</v>
      </c>
      <c r="U77" s="47"/>
      <c r="V77" s="47"/>
      <c r="W77" s="47"/>
      <c r="X77" s="47">
        <f>S77*T77-P77-Y77</f>
        <v>10.158249999999999</v>
      </c>
      <c r="Y77" s="13"/>
    </row>
    <row r="78" spans="1:25" ht="30" x14ac:dyDescent="0.25">
      <c r="A78" s="151" t="s">
        <v>1290</v>
      </c>
      <c r="B78" s="151" t="s">
        <v>278</v>
      </c>
      <c r="C78" s="151" t="s">
        <v>1375</v>
      </c>
      <c r="D78" s="86" t="s">
        <v>221</v>
      </c>
      <c r="E78" s="170">
        <v>16.899999999999999</v>
      </c>
      <c r="F78" s="151" t="s">
        <v>4</v>
      </c>
      <c r="G78" s="5" t="s">
        <v>437</v>
      </c>
      <c r="H78" s="181"/>
      <c r="I78" s="5"/>
      <c r="J78" s="5"/>
      <c r="K78" s="255" t="s">
        <v>2045</v>
      </c>
      <c r="L78" s="95" t="s">
        <v>10</v>
      </c>
      <c r="M78" s="179" t="s">
        <v>7</v>
      </c>
      <c r="N78" s="161">
        <v>1750</v>
      </c>
      <c r="O78" s="161">
        <v>2125</v>
      </c>
      <c r="P78" s="47">
        <f t="shared" si="3"/>
        <v>3.71875</v>
      </c>
      <c r="Q78" s="13">
        <v>3.45</v>
      </c>
      <c r="R78" s="13">
        <v>1.1499999999999999</v>
      </c>
      <c r="S78" s="47">
        <v>17.649999999999999</v>
      </c>
      <c r="T78" s="47">
        <v>2.7</v>
      </c>
      <c r="U78" s="11">
        <f>S78*T78-P78-Q78-Y78-X78</f>
        <v>40.486249999999998</v>
      </c>
      <c r="V78" s="47"/>
      <c r="W78" s="47"/>
      <c r="X78" s="47"/>
      <c r="Y78" s="13"/>
    </row>
    <row r="79" spans="1:25" ht="30" x14ac:dyDescent="0.25">
      <c r="A79" s="151" t="s">
        <v>1290</v>
      </c>
      <c r="B79" s="151" t="s">
        <v>278</v>
      </c>
      <c r="C79" s="151" t="s">
        <v>1376</v>
      </c>
      <c r="D79" s="86" t="s">
        <v>3</v>
      </c>
      <c r="E79" s="170">
        <v>6.5</v>
      </c>
      <c r="F79" s="151" t="s">
        <v>4</v>
      </c>
      <c r="G79" s="5" t="s">
        <v>437</v>
      </c>
      <c r="H79" s="181"/>
      <c r="I79" s="5"/>
      <c r="J79" s="5"/>
      <c r="K79" s="255" t="s">
        <v>2045</v>
      </c>
      <c r="L79" s="95" t="s">
        <v>10</v>
      </c>
      <c r="M79" s="179" t="s">
        <v>7</v>
      </c>
      <c r="N79" s="161">
        <v>4250</v>
      </c>
      <c r="O79" s="161">
        <v>2125</v>
      </c>
      <c r="P79" s="47">
        <f t="shared" si="3"/>
        <v>9.03125</v>
      </c>
      <c r="Q79" s="13"/>
      <c r="R79" s="13"/>
      <c r="S79" s="47">
        <v>10.62</v>
      </c>
      <c r="T79" s="47">
        <v>2.7</v>
      </c>
      <c r="U79" s="11">
        <f>S79*T79-P79-Q79-Y79-X79</f>
        <v>17.642749999999999</v>
      </c>
      <c r="V79" s="47"/>
      <c r="W79" s="47"/>
      <c r="X79" s="47">
        <v>2</v>
      </c>
      <c r="Y79" s="13"/>
    </row>
    <row r="80" spans="1:25" ht="30" x14ac:dyDescent="0.25">
      <c r="A80" s="151" t="s">
        <v>1290</v>
      </c>
      <c r="B80" s="151" t="s">
        <v>278</v>
      </c>
      <c r="C80" s="151" t="s">
        <v>1377</v>
      </c>
      <c r="D80" s="86" t="s">
        <v>65</v>
      </c>
      <c r="E80" s="170">
        <v>1.7</v>
      </c>
      <c r="F80" s="151" t="s">
        <v>4</v>
      </c>
      <c r="G80" s="5" t="s">
        <v>437</v>
      </c>
      <c r="H80" s="181"/>
      <c r="I80" s="5"/>
      <c r="J80" s="5"/>
      <c r="K80" s="255" t="s">
        <v>2045</v>
      </c>
      <c r="L80" s="95" t="s">
        <v>6</v>
      </c>
      <c r="M80" s="179" t="s">
        <v>7</v>
      </c>
      <c r="N80" s="161">
        <v>750</v>
      </c>
      <c r="O80" s="161">
        <v>2125</v>
      </c>
      <c r="P80" s="47">
        <f t="shared" si="3"/>
        <v>1.59375</v>
      </c>
      <c r="Q80" s="13"/>
      <c r="R80" s="13"/>
      <c r="S80" s="47">
        <v>5.45</v>
      </c>
      <c r="T80" s="47">
        <v>2.6</v>
      </c>
      <c r="U80" s="47"/>
      <c r="V80" s="47"/>
      <c r="W80" s="47"/>
      <c r="X80" s="47">
        <f>S80*T80-P80-Y80</f>
        <v>12.576250000000002</v>
      </c>
      <c r="Y80" s="13"/>
    </row>
    <row r="81" spans="1:25" ht="30" x14ac:dyDescent="0.25">
      <c r="A81" s="151" t="s">
        <v>1290</v>
      </c>
      <c r="B81" s="151" t="s">
        <v>278</v>
      </c>
      <c r="C81" s="151" t="s">
        <v>1377</v>
      </c>
      <c r="D81" s="86" t="s">
        <v>220</v>
      </c>
      <c r="E81" s="170">
        <v>3.6</v>
      </c>
      <c r="F81" s="151" t="s">
        <v>4</v>
      </c>
      <c r="G81" s="5" t="s">
        <v>437</v>
      </c>
      <c r="H81" s="181"/>
      <c r="I81" s="5"/>
      <c r="J81" s="5"/>
      <c r="K81" s="255" t="s">
        <v>2045</v>
      </c>
      <c r="L81" s="95" t="s">
        <v>81</v>
      </c>
      <c r="M81" s="179" t="s">
        <v>7</v>
      </c>
      <c r="N81" s="161">
        <v>875</v>
      </c>
      <c r="O81" s="161">
        <v>2125</v>
      </c>
      <c r="P81" s="47">
        <f t="shared" si="3"/>
        <v>1.859375</v>
      </c>
      <c r="Q81" s="13"/>
      <c r="R81" s="13"/>
      <c r="S81" s="47">
        <v>9.56</v>
      </c>
      <c r="T81" s="47">
        <v>2.6</v>
      </c>
      <c r="U81" s="47"/>
      <c r="V81" s="47"/>
      <c r="W81" s="47"/>
      <c r="X81" s="47">
        <f>S81*T81-P81-Y81</f>
        <v>22.996625000000002</v>
      </c>
      <c r="Y81" s="13"/>
    </row>
    <row r="82" spans="1:25" ht="30" x14ac:dyDescent="0.25">
      <c r="A82" s="151" t="s">
        <v>1290</v>
      </c>
      <c r="B82" s="151" t="s">
        <v>278</v>
      </c>
      <c r="C82" s="151" t="s">
        <v>1378</v>
      </c>
      <c r="D82" s="86" t="s">
        <v>1366</v>
      </c>
      <c r="E82" s="170">
        <v>12.6</v>
      </c>
      <c r="F82" s="151" t="s">
        <v>4</v>
      </c>
      <c r="G82" s="5" t="s">
        <v>437</v>
      </c>
      <c r="H82" s="181"/>
      <c r="I82" s="5"/>
      <c r="J82" s="5"/>
      <c r="K82" s="255" t="s">
        <v>2045</v>
      </c>
      <c r="L82" s="95" t="s">
        <v>10</v>
      </c>
      <c r="M82" s="179" t="s">
        <v>7</v>
      </c>
      <c r="N82" s="161">
        <v>875</v>
      </c>
      <c r="O82" s="161">
        <v>2125</v>
      </c>
      <c r="P82" s="47">
        <f t="shared" si="3"/>
        <v>1.859375</v>
      </c>
      <c r="Q82" s="13">
        <v>3.45</v>
      </c>
      <c r="R82" s="13">
        <v>1.1499999999999999</v>
      </c>
      <c r="S82" s="47">
        <v>14.25</v>
      </c>
      <c r="T82" s="47">
        <v>2.7</v>
      </c>
      <c r="U82" s="11">
        <f>S82*T82-P82-Q82-Y82-X82</f>
        <v>33.165624999999999</v>
      </c>
      <c r="V82" s="47"/>
      <c r="W82" s="47"/>
      <c r="X82" s="47"/>
      <c r="Y82" s="13"/>
    </row>
    <row r="83" spans="1:25" ht="30" x14ac:dyDescent="0.25">
      <c r="A83" s="151" t="s">
        <v>1290</v>
      </c>
      <c r="B83" s="151" t="s">
        <v>278</v>
      </c>
      <c r="C83" s="151" t="s">
        <v>1379</v>
      </c>
      <c r="D83" s="86" t="s">
        <v>1366</v>
      </c>
      <c r="E83" s="170">
        <v>12.7</v>
      </c>
      <c r="F83" s="151" t="s">
        <v>4</v>
      </c>
      <c r="G83" s="5" t="s">
        <v>437</v>
      </c>
      <c r="H83" s="181"/>
      <c r="I83" s="5"/>
      <c r="J83" s="5"/>
      <c r="K83" s="255" t="s">
        <v>2045</v>
      </c>
      <c r="L83" s="95" t="s">
        <v>10</v>
      </c>
      <c r="M83" s="179" t="s">
        <v>7</v>
      </c>
      <c r="N83" s="161">
        <v>875</v>
      </c>
      <c r="O83" s="161">
        <v>2125</v>
      </c>
      <c r="P83" s="47">
        <f t="shared" si="3"/>
        <v>1.859375</v>
      </c>
      <c r="Q83" s="13">
        <v>3.45</v>
      </c>
      <c r="R83" s="13">
        <v>1.1499999999999999</v>
      </c>
      <c r="S83" s="47">
        <v>14.31</v>
      </c>
      <c r="T83" s="47">
        <v>2.7</v>
      </c>
      <c r="U83" s="11">
        <f>S83*T83-P83-Q83-Y83-X83</f>
        <v>33.327624999999998</v>
      </c>
      <c r="V83" s="47"/>
      <c r="W83" s="47"/>
      <c r="X83" s="47"/>
      <c r="Y83" s="13"/>
    </row>
    <row r="84" spans="1:25" ht="30" x14ac:dyDescent="0.25">
      <c r="A84" s="145" t="s">
        <v>1290</v>
      </c>
      <c r="B84" s="145" t="s">
        <v>228</v>
      </c>
      <c r="C84" s="145" t="s">
        <v>1380</v>
      </c>
      <c r="D84" s="100" t="s">
        <v>148</v>
      </c>
      <c r="E84" s="168">
        <v>22.1</v>
      </c>
      <c r="F84" s="145" t="s">
        <v>4</v>
      </c>
      <c r="G84" s="5" t="s">
        <v>437</v>
      </c>
      <c r="H84" s="181"/>
      <c r="I84" s="251"/>
      <c r="J84" s="5"/>
      <c r="K84" s="255" t="s">
        <v>2045</v>
      </c>
      <c r="L84" s="95" t="s">
        <v>10</v>
      </c>
      <c r="M84" s="179" t="s">
        <v>7</v>
      </c>
      <c r="N84" s="161">
        <v>5625</v>
      </c>
      <c r="O84" s="161">
        <v>2125</v>
      </c>
      <c r="P84" s="47">
        <f t="shared" si="3"/>
        <v>11.953125</v>
      </c>
      <c r="Q84" s="13">
        <v>2.4</v>
      </c>
      <c r="R84" s="13"/>
      <c r="S84" s="47">
        <v>19.45</v>
      </c>
      <c r="T84" s="47">
        <v>2.7</v>
      </c>
      <c r="U84" s="47"/>
      <c r="V84" s="47">
        <f>S84*T84-P84-Q84-Y84-X84</f>
        <v>33.141874999999999</v>
      </c>
      <c r="W84" s="47"/>
      <c r="X84" s="47">
        <v>5.0199999999999996</v>
      </c>
      <c r="Y84" s="13"/>
    </row>
    <row r="85" spans="1:25" ht="30" x14ac:dyDescent="0.25">
      <c r="A85" s="145" t="s">
        <v>1290</v>
      </c>
      <c r="B85" s="145" t="s">
        <v>228</v>
      </c>
      <c r="C85" s="139" t="s">
        <v>1381</v>
      </c>
      <c r="D85" s="100" t="s">
        <v>1293</v>
      </c>
      <c r="E85" s="168">
        <v>4.0999999999999996</v>
      </c>
      <c r="F85" s="145" t="s">
        <v>4</v>
      </c>
      <c r="G85" s="5" t="s">
        <v>437</v>
      </c>
      <c r="H85" s="181"/>
      <c r="I85" s="251"/>
      <c r="J85" s="5"/>
      <c r="K85" s="255" t="s">
        <v>2045</v>
      </c>
      <c r="L85" s="95" t="s">
        <v>81</v>
      </c>
      <c r="M85" s="179" t="s">
        <v>7</v>
      </c>
      <c r="N85" s="161">
        <v>875</v>
      </c>
      <c r="O85" s="161">
        <v>2125</v>
      </c>
      <c r="P85" s="47">
        <f t="shared" si="3"/>
        <v>1.859375</v>
      </c>
      <c r="Q85" s="13"/>
      <c r="R85" s="13"/>
      <c r="S85" s="47">
        <v>8.1999999999999993</v>
      </c>
      <c r="T85" s="47">
        <v>2.6</v>
      </c>
      <c r="U85" s="47"/>
      <c r="V85" s="47"/>
      <c r="W85" s="47"/>
      <c r="X85" s="47">
        <f>S85*T85-P85-Y85</f>
        <v>19.460625</v>
      </c>
      <c r="Y85" s="13"/>
    </row>
    <row r="86" spans="1:25" ht="30" x14ac:dyDescent="0.25">
      <c r="A86" s="145" t="s">
        <v>1290</v>
      </c>
      <c r="B86" s="145" t="s">
        <v>228</v>
      </c>
      <c r="C86" s="145" t="s">
        <v>1382</v>
      </c>
      <c r="D86" s="100" t="s">
        <v>614</v>
      </c>
      <c r="E86" s="168">
        <v>35</v>
      </c>
      <c r="F86" s="145" t="s">
        <v>4</v>
      </c>
      <c r="G86" s="5" t="s">
        <v>437</v>
      </c>
      <c r="H86" s="181"/>
      <c r="I86" s="251"/>
      <c r="J86" s="5"/>
      <c r="K86" s="255" t="s">
        <v>2045</v>
      </c>
      <c r="L86" s="95" t="s">
        <v>6</v>
      </c>
      <c r="M86" s="179" t="s">
        <v>1777</v>
      </c>
      <c r="N86" s="161">
        <v>1500</v>
      </c>
      <c r="O86" s="161">
        <v>2125</v>
      </c>
      <c r="P86" s="47">
        <f t="shared" si="3"/>
        <v>3.1875</v>
      </c>
      <c r="Q86" s="13"/>
      <c r="R86" s="13"/>
      <c r="S86" s="47">
        <v>24.05</v>
      </c>
      <c r="T86" s="47">
        <v>2.7</v>
      </c>
      <c r="U86" s="26"/>
      <c r="V86" s="47"/>
      <c r="W86" s="47"/>
      <c r="X86" s="47">
        <f>S86*T86-P86-Y86</f>
        <v>61.747500000000002</v>
      </c>
      <c r="Y86" s="13"/>
    </row>
    <row r="87" spans="1:25" ht="30" x14ac:dyDescent="0.25">
      <c r="A87" s="145" t="s">
        <v>1290</v>
      </c>
      <c r="B87" s="145" t="s">
        <v>228</v>
      </c>
      <c r="C87" s="145" t="s">
        <v>1383</v>
      </c>
      <c r="D87" s="100" t="s">
        <v>148</v>
      </c>
      <c r="E87" s="168">
        <v>22.6</v>
      </c>
      <c r="F87" s="145" t="s">
        <v>4</v>
      </c>
      <c r="G87" s="5" t="s">
        <v>437</v>
      </c>
      <c r="H87" s="181"/>
      <c r="I87" s="251"/>
      <c r="J87" s="5"/>
      <c r="K87" s="255" t="s">
        <v>2045</v>
      </c>
      <c r="L87" s="95" t="s">
        <v>10</v>
      </c>
      <c r="M87" s="179" t="s">
        <v>1777</v>
      </c>
      <c r="N87" s="161">
        <v>4100</v>
      </c>
      <c r="O87" s="161">
        <v>2125</v>
      </c>
      <c r="P87" s="47">
        <f t="shared" si="3"/>
        <v>8.7125000000000004</v>
      </c>
      <c r="Q87" s="13"/>
      <c r="R87" s="13"/>
      <c r="S87" s="47">
        <v>20</v>
      </c>
      <c r="T87" s="47">
        <v>2.7</v>
      </c>
      <c r="U87" s="47"/>
      <c r="V87" s="47">
        <f>S87*T87-P87-Q87-Y87-X87</f>
        <v>43.287500000000001</v>
      </c>
      <c r="W87" s="47"/>
      <c r="X87" s="47">
        <v>2</v>
      </c>
      <c r="Y87" s="13"/>
    </row>
    <row r="88" spans="1:25" ht="30" x14ac:dyDescent="0.25">
      <c r="A88" s="145" t="s">
        <v>1290</v>
      </c>
      <c r="B88" s="145" t="s">
        <v>228</v>
      </c>
      <c r="C88" s="145" t="s">
        <v>1384</v>
      </c>
      <c r="D88" s="100" t="s">
        <v>1293</v>
      </c>
      <c r="E88" s="168">
        <v>3.5</v>
      </c>
      <c r="F88" s="145" t="s">
        <v>4</v>
      </c>
      <c r="G88" s="5" t="s">
        <v>437</v>
      </c>
      <c r="H88" s="181"/>
      <c r="I88" s="251"/>
      <c r="J88" s="5"/>
      <c r="K88" s="255" t="s">
        <v>2045</v>
      </c>
      <c r="L88" s="95" t="s">
        <v>81</v>
      </c>
      <c r="M88" s="219" t="s">
        <v>7</v>
      </c>
      <c r="N88" s="320">
        <v>1100</v>
      </c>
      <c r="O88" s="320">
        <v>2125</v>
      </c>
      <c r="P88" s="26">
        <f t="shared" si="3"/>
        <v>2.3374999999999999</v>
      </c>
      <c r="Q88" s="25"/>
      <c r="R88" s="25"/>
      <c r="S88" s="26">
        <v>7.7</v>
      </c>
      <c r="T88" s="26">
        <v>2.6</v>
      </c>
      <c r="U88" s="26"/>
      <c r="V88" s="26"/>
      <c r="W88" s="26"/>
      <c r="X88" s="26">
        <f>S88*T88-P88-Y88</f>
        <v>17.682500000000001</v>
      </c>
      <c r="Y88" s="25"/>
    </row>
    <row r="89" spans="1:25" ht="30" x14ac:dyDescent="0.25">
      <c r="A89" s="145" t="s">
        <v>1290</v>
      </c>
      <c r="B89" s="145" t="s">
        <v>228</v>
      </c>
      <c r="C89" s="145" t="s">
        <v>1385</v>
      </c>
      <c r="D89" s="100" t="s">
        <v>140</v>
      </c>
      <c r="E89" s="168">
        <v>17.2</v>
      </c>
      <c r="F89" s="145" t="s">
        <v>4</v>
      </c>
      <c r="G89" s="5" t="s">
        <v>437</v>
      </c>
      <c r="H89" s="181"/>
      <c r="I89" s="251"/>
      <c r="J89" s="5"/>
      <c r="K89" s="255" t="s">
        <v>2045</v>
      </c>
      <c r="L89" s="95" t="s">
        <v>10</v>
      </c>
      <c r="M89" s="179" t="s">
        <v>7</v>
      </c>
      <c r="N89" s="161">
        <v>3375</v>
      </c>
      <c r="O89" s="161">
        <v>2125</v>
      </c>
      <c r="P89" s="47">
        <f t="shared" si="3"/>
        <v>7.171875</v>
      </c>
      <c r="Q89" s="13"/>
      <c r="R89" s="13"/>
      <c r="S89" s="47">
        <v>21.79</v>
      </c>
      <c r="T89" s="47">
        <v>2.6</v>
      </c>
      <c r="U89" s="16">
        <f>S89*T89-P89-Q89-Y89-X89</f>
        <v>49.482124999999996</v>
      </c>
      <c r="V89" s="47"/>
      <c r="W89" s="47"/>
      <c r="X89" s="47"/>
      <c r="Y89" s="13"/>
    </row>
    <row r="90" spans="1:25" ht="30" x14ac:dyDescent="0.25">
      <c r="A90" s="145" t="s">
        <v>1290</v>
      </c>
      <c r="B90" s="145" t="s">
        <v>228</v>
      </c>
      <c r="C90" s="145" t="s">
        <v>1386</v>
      </c>
      <c r="D90" s="100" t="s">
        <v>3</v>
      </c>
      <c r="E90" s="168">
        <v>0.9</v>
      </c>
      <c r="F90" s="145" t="s">
        <v>4</v>
      </c>
      <c r="G90" s="5" t="s">
        <v>437</v>
      </c>
      <c r="H90" s="181"/>
      <c r="I90" s="251"/>
      <c r="J90" s="5"/>
      <c r="K90" s="255" t="s">
        <v>2045</v>
      </c>
      <c r="L90" s="95" t="s">
        <v>6</v>
      </c>
      <c r="M90" s="179" t="s">
        <v>7</v>
      </c>
      <c r="N90" s="161">
        <v>1500</v>
      </c>
      <c r="O90" s="161">
        <v>2125</v>
      </c>
      <c r="P90" s="47">
        <f t="shared" si="3"/>
        <v>3.1875</v>
      </c>
      <c r="Q90" s="13"/>
      <c r="R90" s="13"/>
      <c r="S90" s="47">
        <v>3.7</v>
      </c>
      <c r="T90" s="47">
        <v>2.6</v>
      </c>
      <c r="U90" s="16"/>
      <c r="V90" s="47"/>
      <c r="W90" s="47"/>
      <c r="X90" s="47">
        <f>S90*T90-P90-Y90</f>
        <v>6.432500000000001</v>
      </c>
      <c r="Y90" s="13"/>
    </row>
    <row r="91" spans="1:25" ht="30" x14ac:dyDescent="0.25">
      <c r="A91" s="145" t="s">
        <v>1290</v>
      </c>
      <c r="B91" s="145" t="s">
        <v>228</v>
      </c>
      <c r="C91" s="145" t="s">
        <v>1387</v>
      </c>
      <c r="D91" s="100" t="s">
        <v>65</v>
      </c>
      <c r="E91" s="168">
        <v>1.1000000000000001</v>
      </c>
      <c r="F91" s="145" t="s">
        <v>4</v>
      </c>
      <c r="G91" s="5" t="s">
        <v>437</v>
      </c>
      <c r="H91" s="181"/>
      <c r="I91" s="251"/>
      <c r="J91" s="5"/>
      <c r="K91" s="255" t="s">
        <v>2045</v>
      </c>
      <c r="L91" s="95" t="s">
        <v>6</v>
      </c>
      <c r="M91" s="179" t="s">
        <v>7</v>
      </c>
      <c r="N91" s="161">
        <v>750</v>
      </c>
      <c r="O91" s="161">
        <v>2125</v>
      </c>
      <c r="P91" s="47">
        <f t="shared" si="3"/>
        <v>1.59375</v>
      </c>
      <c r="Q91" s="13"/>
      <c r="R91" s="13"/>
      <c r="S91" s="47">
        <v>4.2</v>
      </c>
      <c r="T91" s="47">
        <v>2.6</v>
      </c>
      <c r="U91" s="47"/>
      <c r="V91" s="47"/>
      <c r="W91" s="47"/>
      <c r="X91" s="47">
        <f>S91*T91-P91-Y91</f>
        <v>9.3262500000000017</v>
      </c>
      <c r="Y91" s="13"/>
    </row>
    <row r="92" spans="1:25" ht="30" x14ac:dyDescent="0.25">
      <c r="A92" s="145" t="s">
        <v>1290</v>
      </c>
      <c r="B92" s="145" t="s">
        <v>228</v>
      </c>
      <c r="C92" s="145" t="s">
        <v>1388</v>
      </c>
      <c r="D92" s="100" t="s">
        <v>140</v>
      </c>
      <c r="E92" s="168">
        <v>6.2</v>
      </c>
      <c r="F92" s="145" t="s">
        <v>4</v>
      </c>
      <c r="G92" s="5" t="s">
        <v>437</v>
      </c>
      <c r="H92" s="181"/>
      <c r="I92" s="251"/>
      <c r="J92" s="5"/>
      <c r="K92" s="255" t="s">
        <v>2045</v>
      </c>
      <c r="L92" s="95" t="s">
        <v>81</v>
      </c>
      <c r="M92" s="179" t="s">
        <v>7</v>
      </c>
      <c r="N92" s="161">
        <v>1750</v>
      </c>
      <c r="O92" s="161">
        <v>2125</v>
      </c>
      <c r="P92" s="47">
        <f t="shared" si="3"/>
        <v>3.71875</v>
      </c>
      <c r="Q92" s="13"/>
      <c r="R92" s="13"/>
      <c r="S92" s="47">
        <v>16.2</v>
      </c>
      <c r="T92" s="47">
        <v>2.6</v>
      </c>
      <c r="U92" s="47"/>
      <c r="V92" s="47"/>
      <c r="W92" s="47"/>
      <c r="X92" s="47">
        <f>S92*T92-P92-Y92</f>
        <v>38.401249999999997</v>
      </c>
      <c r="Y92" s="13"/>
    </row>
    <row r="93" spans="1:25" ht="30" x14ac:dyDescent="0.25">
      <c r="A93" s="145" t="s">
        <v>1290</v>
      </c>
      <c r="B93" s="145" t="s">
        <v>228</v>
      </c>
      <c r="C93" s="145" t="s">
        <v>1389</v>
      </c>
      <c r="D93" s="100" t="s">
        <v>220</v>
      </c>
      <c r="E93" s="168">
        <v>0.8</v>
      </c>
      <c r="F93" s="145" t="s">
        <v>4</v>
      </c>
      <c r="G93" s="5" t="s">
        <v>437</v>
      </c>
      <c r="H93" s="181"/>
      <c r="I93" s="251"/>
      <c r="J93" s="5"/>
      <c r="K93" s="255" t="s">
        <v>2045</v>
      </c>
      <c r="L93" s="95" t="s">
        <v>81</v>
      </c>
      <c r="M93" s="179" t="s">
        <v>7</v>
      </c>
      <c r="N93" s="161">
        <v>800</v>
      </c>
      <c r="O93" s="161">
        <v>2000</v>
      </c>
      <c r="P93" s="47">
        <f t="shared" si="3"/>
        <v>1.5999999999999999</v>
      </c>
      <c r="Q93" s="13"/>
      <c r="R93" s="13"/>
      <c r="S93" s="47">
        <v>0</v>
      </c>
      <c r="T93" s="47">
        <v>2.6</v>
      </c>
      <c r="U93" s="47"/>
      <c r="V93" s="47"/>
      <c r="W93" s="47"/>
      <c r="X93" s="47"/>
      <c r="Y93" s="13"/>
    </row>
    <row r="94" spans="1:25" ht="30" x14ac:dyDescent="0.25">
      <c r="A94" s="145" t="s">
        <v>1290</v>
      </c>
      <c r="B94" s="145" t="s">
        <v>228</v>
      </c>
      <c r="C94" s="145" t="s">
        <v>1389</v>
      </c>
      <c r="D94" s="100" t="s">
        <v>220</v>
      </c>
      <c r="E94" s="168">
        <v>0.8</v>
      </c>
      <c r="F94" s="145" t="s">
        <v>4</v>
      </c>
      <c r="G94" s="5" t="s">
        <v>437</v>
      </c>
      <c r="H94" s="181"/>
      <c r="I94" s="251"/>
      <c r="J94" s="5"/>
      <c r="K94" s="255" t="s">
        <v>2045</v>
      </c>
      <c r="L94" s="95" t="s">
        <v>81</v>
      </c>
      <c r="M94" s="179" t="s">
        <v>7</v>
      </c>
      <c r="N94" s="161">
        <v>800</v>
      </c>
      <c r="O94" s="161">
        <v>2000</v>
      </c>
      <c r="P94" s="47">
        <f t="shared" si="3"/>
        <v>1.5999999999999999</v>
      </c>
      <c r="Q94" s="13"/>
      <c r="R94" s="13"/>
      <c r="S94" s="47">
        <v>0</v>
      </c>
      <c r="T94" s="47">
        <v>2.6</v>
      </c>
      <c r="U94" s="26"/>
      <c r="V94" s="47"/>
      <c r="W94" s="47"/>
      <c r="X94" s="47"/>
      <c r="Y94" s="13"/>
    </row>
    <row r="95" spans="1:25" ht="30" x14ac:dyDescent="0.25">
      <c r="A95" s="145" t="s">
        <v>1290</v>
      </c>
      <c r="B95" s="145" t="s">
        <v>228</v>
      </c>
      <c r="C95" s="145" t="s">
        <v>1390</v>
      </c>
      <c r="D95" s="100" t="s">
        <v>3</v>
      </c>
      <c r="E95" s="168">
        <v>2.5</v>
      </c>
      <c r="F95" s="145" t="s">
        <v>4</v>
      </c>
      <c r="G95" s="5" t="s">
        <v>437</v>
      </c>
      <c r="H95" s="181"/>
      <c r="I95" s="251"/>
      <c r="J95" s="5"/>
      <c r="K95" s="255" t="s">
        <v>2045</v>
      </c>
      <c r="L95" s="95" t="s">
        <v>10</v>
      </c>
      <c r="M95" s="179" t="s">
        <v>7</v>
      </c>
      <c r="N95" s="161">
        <v>1750</v>
      </c>
      <c r="O95" s="161">
        <v>2125</v>
      </c>
      <c r="P95" s="47">
        <f t="shared" si="3"/>
        <v>3.71875</v>
      </c>
      <c r="Q95" s="13"/>
      <c r="R95" s="13"/>
      <c r="S95" s="47">
        <v>6.9</v>
      </c>
      <c r="T95" s="47">
        <v>2.6</v>
      </c>
      <c r="U95" s="11">
        <f>S95*T95-P95-Q95-Y95-X95</f>
        <v>14.221250000000001</v>
      </c>
      <c r="V95" s="47"/>
      <c r="W95" s="47"/>
      <c r="X95" s="47"/>
      <c r="Y95" s="13"/>
    </row>
    <row r="96" spans="1:25" ht="30" x14ac:dyDescent="0.25">
      <c r="A96" s="145" t="s">
        <v>1290</v>
      </c>
      <c r="B96" s="145" t="s">
        <v>228</v>
      </c>
      <c r="C96" s="145" t="s">
        <v>1391</v>
      </c>
      <c r="D96" s="100" t="s">
        <v>55</v>
      </c>
      <c r="E96" s="168">
        <v>94.3</v>
      </c>
      <c r="F96" s="145" t="s">
        <v>4</v>
      </c>
      <c r="G96" s="5" t="s">
        <v>437</v>
      </c>
      <c r="H96" s="181"/>
      <c r="I96" s="251"/>
      <c r="J96" s="5"/>
      <c r="K96" s="255" t="s">
        <v>2045</v>
      </c>
      <c r="L96" s="95" t="s">
        <v>583</v>
      </c>
      <c r="M96" s="179" t="s">
        <v>1777</v>
      </c>
      <c r="N96" s="161">
        <v>27800</v>
      </c>
      <c r="O96" s="161">
        <v>2125</v>
      </c>
      <c r="P96" s="47">
        <f t="shared" si="3"/>
        <v>59.074999999999996</v>
      </c>
      <c r="Q96" s="13">
        <v>2.85</v>
      </c>
      <c r="R96" s="13"/>
      <c r="S96" s="47">
        <v>79.5</v>
      </c>
      <c r="T96" s="47">
        <v>2.7</v>
      </c>
      <c r="U96" s="16">
        <f>S96*T96-P96-Q96-Y96-X96</f>
        <v>152.72500000000002</v>
      </c>
      <c r="V96" s="47"/>
      <c r="W96" s="47"/>
      <c r="X96" s="47"/>
      <c r="Y96" s="13"/>
    </row>
    <row r="97" spans="1:25" ht="30" x14ac:dyDescent="0.25">
      <c r="A97" s="145" t="s">
        <v>1290</v>
      </c>
      <c r="B97" s="145" t="s">
        <v>228</v>
      </c>
      <c r="C97" s="145" t="s">
        <v>1392</v>
      </c>
      <c r="D97" s="100" t="s">
        <v>1297</v>
      </c>
      <c r="E97" s="168">
        <v>37.1</v>
      </c>
      <c r="F97" s="145" t="s">
        <v>4</v>
      </c>
      <c r="G97" s="5" t="s">
        <v>437</v>
      </c>
      <c r="H97" s="181"/>
      <c r="I97" s="251"/>
      <c r="J97" s="5"/>
      <c r="K97" s="255" t="s">
        <v>2045</v>
      </c>
      <c r="L97" s="95" t="s">
        <v>583</v>
      </c>
      <c r="M97" s="179" t="s">
        <v>7</v>
      </c>
      <c r="N97" s="161">
        <v>4200</v>
      </c>
      <c r="O97" s="161">
        <v>2125</v>
      </c>
      <c r="P97" s="47">
        <f t="shared" si="3"/>
        <v>8.9249999999999989</v>
      </c>
      <c r="Q97" s="13">
        <v>22.32</v>
      </c>
      <c r="R97" s="13"/>
      <c r="S97" s="47">
        <v>45.61</v>
      </c>
      <c r="T97" s="47">
        <v>3</v>
      </c>
      <c r="U97" s="47"/>
      <c r="V97" s="47">
        <f t="shared" ref="V97:V104" si="4">S97*T97-P97-Q97-Y97-X97</f>
        <v>103.58499999999998</v>
      </c>
      <c r="W97" s="47"/>
      <c r="X97" s="47">
        <v>2</v>
      </c>
      <c r="Y97" s="13"/>
    </row>
    <row r="98" spans="1:25" ht="30" x14ac:dyDescent="0.25">
      <c r="A98" s="145" t="s">
        <v>1290</v>
      </c>
      <c r="B98" s="145" t="s">
        <v>228</v>
      </c>
      <c r="C98" s="145" t="s">
        <v>1393</v>
      </c>
      <c r="D98" s="100" t="s">
        <v>256</v>
      </c>
      <c r="E98" s="168">
        <v>7.1</v>
      </c>
      <c r="F98" s="145" t="s">
        <v>4</v>
      </c>
      <c r="G98" s="5" t="s">
        <v>437</v>
      </c>
      <c r="H98" s="181"/>
      <c r="I98" s="251"/>
      <c r="J98" s="5"/>
      <c r="K98" s="255" t="s">
        <v>2045</v>
      </c>
      <c r="L98" s="95" t="s">
        <v>583</v>
      </c>
      <c r="M98" s="179" t="s">
        <v>7</v>
      </c>
      <c r="N98" s="161">
        <v>900</v>
      </c>
      <c r="O98" s="161">
        <v>2125</v>
      </c>
      <c r="P98" s="47">
        <f t="shared" si="3"/>
        <v>1.9124999999999999</v>
      </c>
      <c r="Q98" s="13"/>
      <c r="R98" s="13"/>
      <c r="S98" s="47">
        <v>11.55</v>
      </c>
      <c r="T98" s="47">
        <v>3</v>
      </c>
      <c r="U98" s="47"/>
      <c r="V98" s="47">
        <f t="shared" si="4"/>
        <v>32.737500000000004</v>
      </c>
      <c r="W98" s="47"/>
      <c r="X98" s="47"/>
      <c r="Y98" s="13"/>
    </row>
    <row r="99" spans="1:25" ht="30" x14ac:dyDescent="0.25">
      <c r="A99" s="145" t="s">
        <v>1290</v>
      </c>
      <c r="B99" s="145" t="s">
        <v>228</v>
      </c>
      <c r="C99" s="145" t="s">
        <v>1394</v>
      </c>
      <c r="D99" s="100" t="s">
        <v>258</v>
      </c>
      <c r="E99" s="168">
        <v>56.1</v>
      </c>
      <c r="F99" s="145" t="s">
        <v>4</v>
      </c>
      <c r="G99" s="5" t="s">
        <v>437</v>
      </c>
      <c r="H99" s="181"/>
      <c r="I99" s="251"/>
      <c r="J99" s="5"/>
      <c r="K99" s="255" t="s">
        <v>2045</v>
      </c>
      <c r="L99" s="95" t="s">
        <v>583</v>
      </c>
      <c r="M99" s="179" t="s">
        <v>1777</v>
      </c>
      <c r="N99" s="161">
        <v>13625</v>
      </c>
      <c r="O99" s="161">
        <v>2125</v>
      </c>
      <c r="P99" s="47">
        <f t="shared" si="3"/>
        <v>28.953125</v>
      </c>
      <c r="Q99" s="13">
        <v>17.25</v>
      </c>
      <c r="R99" s="13"/>
      <c r="S99" s="47">
        <v>41.24</v>
      </c>
      <c r="T99" s="47">
        <v>3</v>
      </c>
      <c r="U99" s="47"/>
      <c r="V99" s="47">
        <f t="shared" si="4"/>
        <v>77.516874999999999</v>
      </c>
      <c r="W99" s="47"/>
      <c r="X99" s="47"/>
      <c r="Y99" s="13"/>
    </row>
    <row r="100" spans="1:25" ht="30" x14ac:dyDescent="0.25">
      <c r="A100" s="145" t="s">
        <v>1290</v>
      </c>
      <c r="B100" s="145" t="s">
        <v>228</v>
      </c>
      <c r="C100" s="145" t="s">
        <v>1395</v>
      </c>
      <c r="D100" s="100" t="s">
        <v>1297</v>
      </c>
      <c r="E100" s="168">
        <v>23.4</v>
      </c>
      <c r="F100" s="145" t="s">
        <v>4</v>
      </c>
      <c r="G100" s="5" t="s">
        <v>437</v>
      </c>
      <c r="H100" s="181"/>
      <c r="I100" s="251"/>
      <c r="J100" s="5"/>
      <c r="K100" s="255" t="s">
        <v>2045</v>
      </c>
      <c r="L100" s="95" t="s">
        <v>583</v>
      </c>
      <c r="M100" s="179" t="s">
        <v>7</v>
      </c>
      <c r="N100" s="161">
        <v>1100</v>
      </c>
      <c r="O100" s="161">
        <v>2125</v>
      </c>
      <c r="P100" s="47">
        <f t="shared" si="3"/>
        <v>2.3374999999999999</v>
      </c>
      <c r="Q100" s="13">
        <v>12.54</v>
      </c>
      <c r="R100" s="13"/>
      <c r="S100" s="47">
        <v>26.13</v>
      </c>
      <c r="T100" s="47">
        <v>3</v>
      </c>
      <c r="U100" s="26"/>
      <c r="V100" s="47">
        <f t="shared" si="4"/>
        <v>63.512499999999996</v>
      </c>
      <c r="W100" s="47"/>
      <c r="X100" s="47"/>
      <c r="Y100" s="13"/>
    </row>
    <row r="101" spans="1:25" ht="30" x14ac:dyDescent="0.25">
      <c r="A101" s="145" t="s">
        <v>1290</v>
      </c>
      <c r="B101" s="145" t="s">
        <v>228</v>
      </c>
      <c r="C101" s="145" t="s">
        <v>1396</v>
      </c>
      <c r="D101" s="100" t="s">
        <v>80</v>
      </c>
      <c r="E101" s="168">
        <v>33.299999999999997</v>
      </c>
      <c r="F101" s="145" t="s">
        <v>4</v>
      </c>
      <c r="G101" s="5" t="s">
        <v>437</v>
      </c>
      <c r="H101" s="181"/>
      <c r="I101" s="251"/>
      <c r="J101" s="5"/>
      <c r="K101" s="255" t="s">
        <v>2045</v>
      </c>
      <c r="L101" s="95" t="s">
        <v>583</v>
      </c>
      <c r="M101" s="179" t="s">
        <v>7</v>
      </c>
      <c r="N101" s="161">
        <v>1100</v>
      </c>
      <c r="O101" s="161">
        <v>2125</v>
      </c>
      <c r="P101" s="47">
        <f t="shared" si="3"/>
        <v>2.3374999999999999</v>
      </c>
      <c r="Q101" s="13"/>
      <c r="R101" s="13"/>
      <c r="S101" s="47">
        <v>35.57</v>
      </c>
      <c r="T101" s="47">
        <v>3</v>
      </c>
      <c r="U101" s="26"/>
      <c r="V101" s="47">
        <f t="shared" si="4"/>
        <v>104.3725</v>
      </c>
      <c r="W101" s="47"/>
      <c r="X101" s="47"/>
      <c r="Y101" s="13"/>
    </row>
    <row r="102" spans="1:25" ht="30" x14ac:dyDescent="0.25">
      <c r="A102" s="145" t="s">
        <v>1290</v>
      </c>
      <c r="B102" s="145" t="s">
        <v>228</v>
      </c>
      <c r="C102" s="145" t="s">
        <v>1397</v>
      </c>
      <c r="D102" s="100" t="s">
        <v>1297</v>
      </c>
      <c r="E102" s="168">
        <v>43</v>
      </c>
      <c r="F102" s="145" t="s">
        <v>4</v>
      </c>
      <c r="G102" s="5" t="s">
        <v>437</v>
      </c>
      <c r="H102" s="181"/>
      <c r="I102" s="251"/>
      <c r="J102" s="5"/>
      <c r="K102" s="255" t="s">
        <v>2045</v>
      </c>
      <c r="L102" s="95" t="s">
        <v>583</v>
      </c>
      <c r="M102" s="179" t="s">
        <v>7</v>
      </c>
      <c r="N102" s="161">
        <v>2200</v>
      </c>
      <c r="O102" s="161">
        <v>2125</v>
      </c>
      <c r="P102" s="47">
        <f t="shared" si="3"/>
        <v>4.6749999999999998</v>
      </c>
      <c r="Q102" s="13">
        <v>15.96</v>
      </c>
      <c r="R102" s="13"/>
      <c r="S102" s="47">
        <v>40.799999999999997</v>
      </c>
      <c r="T102" s="47">
        <v>3</v>
      </c>
      <c r="U102" s="47"/>
      <c r="V102" s="47">
        <f t="shared" si="4"/>
        <v>99.764999999999986</v>
      </c>
      <c r="W102" s="47"/>
      <c r="X102" s="47">
        <v>2</v>
      </c>
      <c r="Y102" s="13"/>
    </row>
    <row r="103" spans="1:25" ht="30" x14ac:dyDescent="0.25">
      <c r="A103" s="145" t="s">
        <v>1290</v>
      </c>
      <c r="B103" s="145" t="s">
        <v>228</v>
      </c>
      <c r="C103" s="145" t="s">
        <v>1398</v>
      </c>
      <c r="D103" s="100" t="s">
        <v>1297</v>
      </c>
      <c r="E103" s="168">
        <v>43.3</v>
      </c>
      <c r="F103" s="145" t="s">
        <v>4</v>
      </c>
      <c r="G103" s="5" t="s">
        <v>437</v>
      </c>
      <c r="H103" s="181"/>
      <c r="I103" s="251"/>
      <c r="J103" s="5"/>
      <c r="K103" s="255" t="s">
        <v>2045</v>
      </c>
      <c r="L103" s="95" t="s">
        <v>583</v>
      </c>
      <c r="M103" s="179" t="s">
        <v>7</v>
      </c>
      <c r="N103" s="161">
        <v>3300</v>
      </c>
      <c r="O103" s="161">
        <v>2125</v>
      </c>
      <c r="P103" s="47">
        <f t="shared" si="3"/>
        <v>7.0124999999999993</v>
      </c>
      <c r="Q103" s="13">
        <v>18.809999999999999</v>
      </c>
      <c r="R103" s="13"/>
      <c r="S103" s="47">
        <v>40.950000000000003</v>
      </c>
      <c r="T103" s="47">
        <v>3</v>
      </c>
      <c r="U103" s="47"/>
      <c r="V103" s="47">
        <f t="shared" si="4"/>
        <v>95.027500000000003</v>
      </c>
      <c r="W103" s="47"/>
      <c r="X103" s="47">
        <v>2</v>
      </c>
      <c r="Y103" s="13"/>
    </row>
    <row r="104" spans="1:25" ht="30" x14ac:dyDescent="0.25">
      <c r="A104" s="145" t="s">
        <v>1290</v>
      </c>
      <c r="B104" s="145" t="s">
        <v>228</v>
      </c>
      <c r="C104" s="145" t="s">
        <v>1399</v>
      </c>
      <c r="D104" s="100" t="s">
        <v>258</v>
      </c>
      <c r="E104" s="168">
        <v>23.6</v>
      </c>
      <c r="F104" s="145" t="s">
        <v>4</v>
      </c>
      <c r="G104" s="5" t="s">
        <v>437</v>
      </c>
      <c r="H104" s="181"/>
      <c r="I104" s="251"/>
      <c r="J104" s="5"/>
      <c r="K104" s="255" t="s">
        <v>2045</v>
      </c>
      <c r="L104" s="95" t="s">
        <v>583</v>
      </c>
      <c r="M104" s="179" t="s">
        <v>7</v>
      </c>
      <c r="N104" s="161">
        <v>6350</v>
      </c>
      <c r="O104" s="161">
        <v>2125</v>
      </c>
      <c r="P104" s="47">
        <f t="shared" si="3"/>
        <v>13.493749999999999</v>
      </c>
      <c r="Q104" s="13"/>
      <c r="R104" s="13"/>
      <c r="S104" s="47">
        <v>27.65</v>
      </c>
      <c r="T104" s="47">
        <v>3</v>
      </c>
      <c r="U104" s="47"/>
      <c r="V104" s="47">
        <f t="shared" si="4"/>
        <v>69.456249999999983</v>
      </c>
      <c r="W104" s="47"/>
      <c r="X104" s="47"/>
      <c r="Y104" s="13"/>
    </row>
    <row r="105" spans="1:25" ht="30" x14ac:dyDescent="0.25">
      <c r="A105" s="145" t="s">
        <v>1290</v>
      </c>
      <c r="B105" s="145" t="s">
        <v>228</v>
      </c>
      <c r="C105" s="145" t="s">
        <v>1400</v>
      </c>
      <c r="D105" s="100" t="s">
        <v>362</v>
      </c>
      <c r="E105" s="168">
        <v>10.1</v>
      </c>
      <c r="F105" s="145" t="s">
        <v>4</v>
      </c>
      <c r="G105" s="5" t="s">
        <v>437</v>
      </c>
      <c r="H105" s="181"/>
      <c r="I105" s="251"/>
      <c r="J105" s="5"/>
      <c r="K105" s="255" t="s">
        <v>2045</v>
      </c>
      <c r="L105" s="95" t="s">
        <v>6</v>
      </c>
      <c r="M105" s="179" t="s">
        <v>7</v>
      </c>
      <c r="N105" s="161">
        <v>1500</v>
      </c>
      <c r="O105" s="161">
        <v>2125</v>
      </c>
      <c r="P105" s="47">
        <f t="shared" si="3"/>
        <v>3.1875</v>
      </c>
      <c r="Q105" s="13"/>
      <c r="R105" s="13"/>
      <c r="S105" s="47">
        <v>12.73</v>
      </c>
      <c r="T105" s="47">
        <v>3</v>
      </c>
      <c r="U105" s="16">
        <f>S105*T105-P105-Q105-Y105-X105</f>
        <v>25.052499999999995</v>
      </c>
      <c r="V105" s="47"/>
      <c r="W105" s="47"/>
      <c r="X105" s="47">
        <v>5.53</v>
      </c>
      <c r="Y105" s="13">
        <v>4.42</v>
      </c>
    </row>
    <row r="106" spans="1:25" ht="30" x14ac:dyDescent="0.25">
      <c r="A106" s="145" t="s">
        <v>1290</v>
      </c>
      <c r="B106" s="145" t="s">
        <v>228</v>
      </c>
      <c r="C106" s="145" t="s">
        <v>1401</v>
      </c>
      <c r="D106" s="100" t="s">
        <v>154</v>
      </c>
      <c r="E106" s="168">
        <v>12.3</v>
      </c>
      <c r="F106" s="145" t="s">
        <v>4</v>
      </c>
      <c r="G106" s="5" t="s">
        <v>437</v>
      </c>
      <c r="H106" s="181"/>
      <c r="I106" s="251"/>
      <c r="J106" s="5"/>
      <c r="K106" s="255" t="s">
        <v>2045</v>
      </c>
      <c r="L106" s="95" t="s">
        <v>10</v>
      </c>
      <c r="M106" s="179" t="s">
        <v>1777</v>
      </c>
      <c r="N106" s="161">
        <v>3000</v>
      </c>
      <c r="O106" s="161">
        <v>2125</v>
      </c>
      <c r="P106" s="47">
        <f t="shared" si="3"/>
        <v>6.375</v>
      </c>
      <c r="Q106" s="13"/>
      <c r="R106" s="13"/>
      <c r="S106" s="47">
        <v>14.05</v>
      </c>
      <c r="T106" s="47">
        <v>3</v>
      </c>
      <c r="U106" s="47"/>
      <c r="V106" s="47">
        <f t="shared" ref="V106:V112" si="5">S106*T106-P106-Q106-Y106-X106</f>
        <v>30.105000000000004</v>
      </c>
      <c r="W106" s="47"/>
      <c r="X106" s="47">
        <v>2</v>
      </c>
      <c r="Y106" s="13">
        <v>3.67</v>
      </c>
    </row>
    <row r="107" spans="1:25" ht="30" x14ac:dyDescent="0.25">
      <c r="A107" s="145" t="s">
        <v>1290</v>
      </c>
      <c r="B107" s="145" t="s">
        <v>228</v>
      </c>
      <c r="C107" s="145" t="s">
        <v>1402</v>
      </c>
      <c r="D107" s="100" t="s">
        <v>1403</v>
      </c>
      <c r="E107" s="168">
        <v>45.2</v>
      </c>
      <c r="F107" s="145" t="s">
        <v>4</v>
      </c>
      <c r="G107" s="5" t="s">
        <v>437</v>
      </c>
      <c r="H107" s="181"/>
      <c r="I107" s="251"/>
      <c r="J107" s="5"/>
      <c r="K107" s="255" t="s">
        <v>2045</v>
      </c>
      <c r="L107" s="95" t="s">
        <v>10</v>
      </c>
      <c r="M107" s="179" t="s">
        <v>1777</v>
      </c>
      <c r="N107" s="161">
        <v>4800</v>
      </c>
      <c r="O107" s="161">
        <v>2125</v>
      </c>
      <c r="P107" s="47">
        <f t="shared" si="3"/>
        <v>10.199999999999999</v>
      </c>
      <c r="Q107" s="13"/>
      <c r="R107" s="13"/>
      <c r="S107" s="47">
        <v>26.54</v>
      </c>
      <c r="T107" s="47">
        <v>3</v>
      </c>
      <c r="U107" s="47"/>
      <c r="V107" s="47">
        <f t="shared" si="5"/>
        <v>65.97</v>
      </c>
      <c r="W107" s="47"/>
      <c r="X107" s="47"/>
      <c r="Y107" s="13">
        <v>3.45</v>
      </c>
    </row>
    <row r="108" spans="1:25" ht="30" x14ac:dyDescent="0.25">
      <c r="A108" s="145" t="s">
        <v>1290</v>
      </c>
      <c r="B108" s="145" t="s">
        <v>228</v>
      </c>
      <c r="C108" s="145" t="s">
        <v>1404</v>
      </c>
      <c r="D108" s="100" t="s">
        <v>255</v>
      </c>
      <c r="E108" s="168">
        <v>8.1</v>
      </c>
      <c r="F108" s="145" t="s">
        <v>4</v>
      </c>
      <c r="G108" s="5" t="s">
        <v>437</v>
      </c>
      <c r="H108" s="181"/>
      <c r="I108" s="251"/>
      <c r="J108" s="5"/>
      <c r="K108" s="255" t="s">
        <v>2045</v>
      </c>
      <c r="L108" s="95" t="s">
        <v>10</v>
      </c>
      <c r="M108" s="179" t="s">
        <v>1777</v>
      </c>
      <c r="N108" s="161">
        <v>2200</v>
      </c>
      <c r="O108" s="161">
        <v>2125</v>
      </c>
      <c r="P108" s="47">
        <f t="shared" si="3"/>
        <v>4.6749999999999998</v>
      </c>
      <c r="Q108" s="13"/>
      <c r="R108" s="13"/>
      <c r="S108" s="47">
        <v>11.54</v>
      </c>
      <c r="T108" s="47">
        <v>3</v>
      </c>
      <c r="U108" s="47"/>
      <c r="V108" s="47">
        <f t="shared" si="5"/>
        <v>24.274999999999999</v>
      </c>
      <c r="W108" s="47"/>
      <c r="X108" s="47">
        <v>2</v>
      </c>
      <c r="Y108" s="13">
        <v>3.67</v>
      </c>
    </row>
    <row r="109" spans="1:25" ht="30" x14ac:dyDescent="0.25">
      <c r="A109" s="145" t="s">
        <v>1290</v>
      </c>
      <c r="B109" s="145" t="s">
        <v>228</v>
      </c>
      <c r="C109" s="145" t="s">
        <v>1405</v>
      </c>
      <c r="D109" s="100" t="s">
        <v>255</v>
      </c>
      <c r="E109" s="168">
        <v>8.1</v>
      </c>
      <c r="F109" s="145" t="s">
        <v>4</v>
      </c>
      <c r="G109" s="5" t="s">
        <v>437</v>
      </c>
      <c r="H109" s="181"/>
      <c r="I109" s="251"/>
      <c r="J109" s="5"/>
      <c r="K109" s="255" t="s">
        <v>2045</v>
      </c>
      <c r="L109" s="95" t="s">
        <v>10</v>
      </c>
      <c r="M109" s="179" t="s">
        <v>1777</v>
      </c>
      <c r="N109" s="161">
        <v>2200</v>
      </c>
      <c r="O109" s="161">
        <v>2125</v>
      </c>
      <c r="P109" s="47">
        <f t="shared" si="3"/>
        <v>4.6749999999999998</v>
      </c>
      <c r="Q109" s="13"/>
      <c r="R109" s="13"/>
      <c r="S109" s="47">
        <v>11.46</v>
      </c>
      <c r="T109" s="47">
        <v>3</v>
      </c>
      <c r="U109" s="47"/>
      <c r="V109" s="47">
        <f t="shared" si="5"/>
        <v>24.035000000000004</v>
      </c>
      <c r="W109" s="47"/>
      <c r="X109" s="47">
        <v>2</v>
      </c>
      <c r="Y109" s="13">
        <v>3.67</v>
      </c>
    </row>
    <row r="110" spans="1:25" ht="30" x14ac:dyDescent="0.25">
      <c r="A110" s="145" t="s">
        <v>1290</v>
      </c>
      <c r="B110" s="145" t="s">
        <v>228</v>
      </c>
      <c r="C110" s="145" t="s">
        <v>1406</v>
      </c>
      <c r="D110" s="100" t="s">
        <v>154</v>
      </c>
      <c r="E110" s="168">
        <v>12.3</v>
      </c>
      <c r="F110" s="145" t="s">
        <v>4</v>
      </c>
      <c r="G110" s="5" t="s">
        <v>437</v>
      </c>
      <c r="H110" s="181"/>
      <c r="I110" s="251"/>
      <c r="J110" s="5"/>
      <c r="K110" s="255" t="s">
        <v>2045</v>
      </c>
      <c r="L110" s="95" t="s">
        <v>10</v>
      </c>
      <c r="M110" s="179" t="s">
        <v>1777</v>
      </c>
      <c r="N110" s="161">
        <v>3000</v>
      </c>
      <c r="O110" s="161">
        <v>2125</v>
      </c>
      <c r="P110" s="47">
        <f t="shared" si="3"/>
        <v>6.375</v>
      </c>
      <c r="Q110" s="13"/>
      <c r="R110" s="13"/>
      <c r="S110" s="47">
        <v>14.06</v>
      </c>
      <c r="T110" s="47">
        <v>3</v>
      </c>
      <c r="U110" s="26"/>
      <c r="V110" s="47">
        <f t="shared" si="5"/>
        <v>30.134999999999998</v>
      </c>
      <c r="W110" s="47"/>
      <c r="X110" s="47">
        <v>2</v>
      </c>
      <c r="Y110" s="13">
        <v>3.67</v>
      </c>
    </row>
    <row r="111" spans="1:25" ht="30" x14ac:dyDescent="0.25">
      <c r="A111" s="145" t="s">
        <v>1290</v>
      </c>
      <c r="B111" s="145" t="s">
        <v>228</v>
      </c>
      <c r="C111" s="145" t="s">
        <v>1407</v>
      </c>
      <c r="D111" s="100" t="s">
        <v>1408</v>
      </c>
      <c r="E111" s="168">
        <v>44.2</v>
      </c>
      <c r="F111" s="145" t="s">
        <v>4</v>
      </c>
      <c r="G111" s="5" t="s">
        <v>437</v>
      </c>
      <c r="H111" s="181"/>
      <c r="I111" s="251"/>
      <c r="J111" s="5"/>
      <c r="K111" s="255" t="s">
        <v>2045</v>
      </c>
      <c r="L111" s="95" t="s">
        <v>10</v>
      </c>
      <c r="M111" s="179" t="s">
        <v>1777</v>
      </c>
      <c r="N111" s="161">
        <v>4800</v>
      </c>
      <c r="O111" s="161">
        <v>2125</v>
      </c>
      <c r="P111" s="47">
        <f t="shared" si="3"/>
        <v>10.199999999999999</v>
      </c>
      <c r="Q111" s="13"/>
      <c r="R111" s="13"/>
      <c r="S111" s="47">
        <v>26.48</v>
      </c>
      <c r="T111" s="47">
        <v>3</v>
      </c>
      <c r="U111" s="47"/>
      <c r="V111" s="47">
        <f t="shared" si="5"/>
        <v>65.789999999999992</v>
      </c>
      <c r="W111" s="47"/>
      <c r="X111" s="47"/>
      <c r="Y111" s="13">
        <v>3.45</v>
      </c>
    </row>
    <row r="112" spans="1:25" ht="30" x14ac:dyDescent="0.25">
      <c r="A112" s="145" t="s">
        <v>1290</v>
      </c>
      <c r="B112" s="145" t="s">
        <v>228</v>
      </c>
      <c r="C112" s="145" t="s">
        <v>1409</v>
      </c>
      <c r="D112" s="100" t="s">
        <v>1303</v>
      </c>
      <c r="E112" s="168">
        <v>12</v>
      </c>
      <c r="F112" s="145" t="s">
        <v>4</v>
      </c>
      <c r="G112" s="5" t="s">
        <v>437</v>
      </c>
      <c r="H112" s="181"/>
      <c r="I112" s="251"/>
      <c r="J112" s="5"/>
      <c r="K112" s="255" t="s">
        <v>2045</v>
      </c>
      <c r="L112" s="95" t="s">
        <v>10</v>
      </c>
      <c r="M112" s="179" t="s">
        <v>1777</v>
      </c>
      <c r="N112" s="161">
        <v>3300</v>
      </c>
      <c r="O112" s="161">
        <v>2125</v>
      </c>
      <c r="P112" s="47">
        <f t="shared" si="3"/>
        <v>7.0124999999999993</v>
      </c>
      <c r="Q112" s="13"/>
      <c r="R112" s="13"/>
      <c r="S112" s="47">
        <v>14.95</v>
      </c>
      <c r="T112" s="47">
        <v>3</v>
      </c>
      <c r="U112" s="47"/>
      <c r="V112" s="47">
        <f t="shared" si="5"/>
        <v>35.837499999999991</v>
      </c>
      <c r="W112" s="47"/>
      <c r="X112" s="47">
        <v>2</v>
      </c>
      <c r="Y112" s="13"/>
    </row>
    <row r="113" spans="1:25" ht="30" x14ac:dyDescent="0.25">
      <c r="A113" s="145" t="s">
        <v>1290</v>
      </c>
      <c r="B113" s="145" t="s">
        <v>228</v>
      </c>
      <c r="C113" s="145" t="s">
        <v>1410</v>
      </c>
      <c r="D113" s="100" t="s">
        <v>224</v>
      </c>
      <c r="E113" s="168">
        <v>2.7</v>
      </c>
      <c r="F113" s="145" t="s">
        <v>4</v>
      </c>
      <c r="G113" s="5" t="s">
        <v>437</v>
      </c>
      <c r="H113" s="181"/>
      <c r="I113" s="251"/>
      <c r="J113" s="5"/>
      <c r="K113" s="255" t="s">
        <v>2045</v>
      </c>
      <c r="L113" s="95" t="s">
        <v>6</v>
      </c>
      <c r="M113" s="179" t="s">
        <v>7</v>
      </c>
      <c r="N113" s="161">
        <v>875</v>
      </c>
      <c r="O113" s="161">
        <v>2125</v>
      </c>
      <c r="P113" s="47">
        <f t="shared" si="3"/>
        <v>1.859375</v>
      </c>
      <c r="Q113" s="13"/>
      <c r="R113" s="13"/>
      <c r="S113" s="47">
        <v>6.54</v>
      </c>
      <c r="T113" s="47">
        <v>2.6</v>
      </c>
      <c r="U113" s="47"/>
      <c r="V113" s="47"/>
      <c r="W113" s="47"/>
      <c r="X113" s="47">
        <f>S113*T113-P113-Y113</f>
        <v>15.144625000000001</v>
      </c>
      <c r="Y113" s="13"/>
    </row>
    <row r="114" spans="1:25" ht="30" x14ac:dyDescent="0.25">
      <c r="A114" s="145" t="s">
        <v>1290</v>
      </c>
      <c r="B114" s="145" t="s">
        <v>228</v>
      </c>
      <c r="C114" s="145" t="s">
        <v>1411</v>
      </c>
      <c r="D114" s="100" t="s">
        <v>224</v>
      </c>
      <c r="E114" s="168">
        <v>2.7</v>
      </c>
      <c r="F114" s="145" t="s">
        <v>4</v>
      </c>
      <c r="G114" s="5" t="s">
        <v>437</v>
      </c>
      <c r="H114" s="181"/>
      <c r="I114" s="251"/>
      <c r="J114" s="5"/>
      <c r="K114" s="255" t="s">
        <v>2045</v>
      </c>
      <c r="L114" s="95" t="s">
        <v>6</v>
      </c>
      <c r="M114" s="179" t="s">
        <v>7</v>
      </c>
      <c r="N114" s="161">
        <v>875</v>
      </c>
      <c r="O114" s="161">
        <v>2125</v>
      </c>
      <c r="P114" s="47">
        <f t="shared" si="3"/>
        <v>1.859375</v>
      </c>
      <c r="Q114" s="13"/>
      <c r="R114" s="13"/>
      <c r="S114" s="47">
        <v>6.55</v>
      </c>
      <c r="T114" s="47">
        <v>2.6</v>
      </c>
      <c r="U114" s="47"/>
      <c r="V114" s="47"/>
      <c r="W114" s="47"/>
      <c r="X114" s="47">
        <f>S114*T114-P114-Y114</f>
        <v>15.170625000000001</v>
      </c>
      <c r="Y114" s="13"/>
    </row>
    <row r="115" spans="1:25" ht="30" x14ac:dyDescent="0.25">
      <c r="A115" s="145" t="s">
        <v>1290</v>
      </c>
      <c r="B115" s="145" t="s">
        <v>228</v>
      </c>
      <c r="C115" s="145" t="s">
        <v>1412</v>
      </c>
      <c r="D115" s="100" t="s">
        <v>80</v>
      </c>
      <c r="E115" s="168">
        <v>4.8</v>
      </c>
      <c r="F115" s="145" t="s">
        <v>4</v>
      </c>
      <c r="G115" s="5" t="s">
        <v>437</v>
      </c>
      <c r="H115" s="181"/>
      <c r="I115" s="251"/>
      <c r="J115" s="5"/>
      <c r="K115" s="255" t="s">
        <v>2045</v>
      </c>
      <c r="L115" s="95" t="s">
        <v>6</v>
      </c>
      <c r="M115" s="179" t="s">
        <v>7</v>
      </c>
      <c r="N115" s="161">
        <v>900</v>
      </c>
      <c r="O115" s="161">
        <v>2125</v>
      </c>
      <c r="P115" s="47">
        <f t="shared" si="3"/>
        <v>1.9124999999999999</v>
      </c>
      <c r="Q115" s="13"/>
      <c r="R115" s="13"/>
      <c r="S115" s="47">
        <v>9.1999999999999993</v>
      </c>
      <c r="T115" s="47">
        <v>2.6</v>
      </c>
      <c r="U115" s="47"/>
      <c r="V115" s="47">
        <f t="shared" ref="V115:V127" si="6">S115*T115-P115-Q115-Y115-X115</f>
        <v>22.007499999999997</v>
      </c>
      <c r="W115" s="47"/>
      <c r="X115" s="47"/>
      <c r="Y115" s="13"/>
    </row>
    <row r="116" spans="1:25" ht="30" x14ac:dyDescent="0.25">
      <c r="A116" s="145" t="s">
        <v>1290</v>
      </c>
      <c r="B116" s="145" t="s">
        <v>228</v>
      </c>
      <c r="C116" s="145" t="s">
        <v>1413</v>
      </c>
      <c r="D116" s="100" t="s">
        <v>154</v>
      </c>
      <c r="E116" s="168">
        <v>16.7</v>
      </c>
      <c r="F116" s="145" t="s">
        <v>4</v>
      </c>
      <c r="G116" s="5" t="s">
        <v>437</v>
      </c>
      <c r="H116" s="181"/>
      <c r="I116" s="251"/>
      <c r="J116" s="5"/>
      <c r="K116" s="255" t="s">
        <v>2045</v>
      </c>
      <c r="L116" s="95" t="s">
        <v>10</v>
      </c>
      <c r="M116" s="179" t="s">
        <v>1777</v>
      </c>
      <c r="N116" s="161">
        <v>3000</v>
      </c>
      <c r="O116" s="161">
        <v>2125</v>
      </c>
      <c r="P116" s="47">
        <f t="shared" si="3"/>
        <v>6.375</v>
      </c>
      <c r="Q116" s="13"/>
      <c r="R116" s="13"/>
      <c r="S116" s="47">
        <v>7.4</v>
      </c>
      <c r="T116" s="47">
        <v>3</v>
      </c>
      <c r="U116" s="47"/>
      <c r="V116" s="47">
        <f t="shared" si="6"/>
        <v>10.155000000000003</v>
      </c>
      <c r="W116" s="47"/>
      <c r="X116" s="47">
        <v>2</v>
      </c>
      <c r="Y116" s="13">
        <v>3.67</v>
      </c>
    </row>
    <row r="117" spans="1:25" ht="30" x14ac:dyDescent="0.25">
      <c r="A117" s="145" t="s">
        <v>1290</v>
      </c>
      <c r="B117" s="145" t="s">
        <v>228</v>
      </c>
      <c r="C117" s="145" t="s">
        <v>1414</v>
      </c>
      <c r="D117" s="100" t="s">
        <v>255</v>
      </c>
      <c r="E117" s="168">
        <v>13.3</v>
      </c>
      <c r="F117" s="145" t="s">
        <v>4</v>
      </c>
      <c r="G117" s="5" t="s">
        <v>437</v>
      </c>
      <c r="H117" s="181"/>
      <c r="I117" s="251"/>
      <c r="J117" s="5"/>
      <c r="K117" s="255" t="s">
        <v>2045</v>
      </c>
      <c r="L117" s="95" t="s">
        <v>10</v>
      </c>
      <c r="M117" s="179" t="s">
        <v>1777</v>
      </c>
      <c r="N117" s="161">
        <v>2200</v>
      </c>
      <c r="O117" s="161">
        <v>2125</v>
      </c>
      <c r="P117" s="47">
        <f t="shared" si="3"/>
        <v>4.6749999999999998</v>
      </c>
      <c r="Q117" s="13"/>
      <c r="R117" s="13"/>
      <c r="S117" s="47">
        <v>15.9</v>
      </c>
      <c r="T117" s="47">
        <v>3</v>
      </c>
      <c r="U117" s="47"/>
      <c r="V117" s="47">
        <f t="shared" si="6"/>
        <v>37.355000000000004</v>
      </c>
      <c r="W117" s="47"/>
      <c r="X117" s="47">
        <v>2</v>
      </c>
      <c r="Y117" s="13">
        <v>3.67</v>
      </c>
    </row>
    <row r="118" spans="1:25" ht="30" x14ac:dyDescent="0.25">
      <c r="A118" s="145" t="s">
        <v>1290</v>
      </c>
      <c r="B118" s="145" t="s">
        <v>228</v>
      </c>
      <c r="C118" s="145" t="s">
        <v>1415</v>
      </c>
      <c r="D118" s="100" t="s">
        <v>1416</v>
      </c>
      <c r="E118" s="168">
        <v>45.2</v>
      </c>
      <c r="F118" s="145" t="s">
        <v>4</v>
      </c>
      <c r="G118" s="5" t="s">
        <v>437</v>
      </c>
      <c r="H118" s="181"/>
      <c r="I118" s="251"/>
      <c r="J118" s="5"/>
      <c r="K118" s="255" t="s">
        <v>2045</v>
      </c>
      <c r="L118" s="95" t="s">
        <v>10</v>
      </c>
      <c r="M118" s="179" t="s">
        <v>1777</v>
      </c>
      <c r="N118" s="161">
        <v>4800</v>
      </c>
      <c r="O118" s="161">
        <v>2125</v>
      </c>
      <c r="P118" s="47">
        <f t="shared" si="3"/>
        <v>10.199999999999999</v>
      </c>
      <c r="Q118" s="13"/>
      <c r="R118" s="13"/>
      <c r="S118" s="47">
        <v>26.84</v>
      </c>
      <c r="T118" s="47">
        <v>3</v>
      </c>
      <c r="U118" s="47"/>
      <c r="V118" s="47">
        <f t="shared" si="6"/>
        <v>66.86999999999999</v>
      </c>
      <c r="W118" s="47"/>
      <c r="X118" s="47"/>
      <c r="Y118" s="13">
        <v>3.45</v>
      </c>
    </row>
    <row r="119" spans="1:25" ht="30" x14ac:dyDescent="0.25">
      <c r="A119" s="145" t="s">
        <v>1290</v>
      </c>
      <c r="B119" s="145" t="s">
        <v>228</v>
      </c>
      <c r="C119" s="145" t="s">
        <v>1417</v>
      </c>
      <c r="D119" s="100" t="s">
        <v>1303</v>
      </c>
      <c r="E119" s="168">
        <v>13.8</v>
      </c>
      <c r="F119" s="145" t="s">
        <v>4</v>
      </c>
      <c r="G119" s="5" t="s">
        <v>437</v>
      </c>
      <c r="H119" s="181"/>
      <c r="I119" s="251"/>
      <c r="J119" s="5"/>
      <c r="K119" s="255" t="s">
        <v>2045</v>
      </c>
      <c r="L119" s="95" t="s">
        <v>10</v>
      </c>
      <c r="M119" s="179" t="s">
        <v>1777</v>
      </c>
      <c r="N119" s="161">
        <v>3375</v>
      </c>
      <c r="O119" s="161">
        <v>2125</v>
      </c>
      <c r="P119" s="47">
        <f t="shared" si="3"/>
        <v>7.171875</v>
      </c>
      <c r="Q119" s="13"/>
      <c r="R119" s="13"/>
      <c r="S119" s="47">
        <v>16.38</v>
      </c>
      <c r="T119" s="47">
        <v>3</v>
      </c>
      <c r="U119" s="47"/>
      <c r="V119" s="47">
        <f t="shared" si="6"/>
        <v>39.968125000000001</v>
      </c>
      <c r="W119" s="47"/>
      <c r="X119" s="47">
        <v>2</v>
      </c>
      <c r="Y119" s="13"/>
    </row>
    <row r="120" spans="1:25" ht="30" x14ac:dyDescent="0.25">
      <c r="A120" s="145" t="s">
        <v>1290</v>
      </c>
      <c r="B120" s="145" t="s">
        <v>228</v>
      </c>
      <c r="C120" s="145" t="s">
        <v>1418</v>
      </c>
      <c r="D120" s="100" t="s">
        <v>255</v>
      </c>
      <c r="E120" s="168">
        <v>13.3</v>
      </c>
      <c r="F120" s="145" t="s">
        <v>4</v>
      </c>
      <c r="G120" s="5" t="s">
        <v>437</v>
      </c>
      <c r="H120" s="181"/>
      <c r="I120" s="251"/>
      <c r="J120" s="5"/>
      <c r="K120" s="255" t="s">
        <v>2045</v>
      </c>
      <c r="L120" s="95" t="s">
        <v>10</v>
      </c>
      <c r="M120" s="179" t="s">
        <v>1777</v>
      </c>
      <c r="N120" s="161">
        <v>2200</v>
      </c>
      <c r="O120" s="161">
        <v>2125</v>
      </c>
      <c r="P120" s="47">
        <f t="shared" si="3"/>
        <v>4.6749999999999998</v>
      </c>
      <c r="Q120" s="13"/>
      <c r="R120" s="13"/>
      <c r="S120" s="47">
        <v>15.9</v>
      </c>
      <c r="T120" s="47">
        <v>3</v>
      </c>
      <c r="U120" s="47"/>
      <c r="V120" s="47">
        <f t="shared" si="6"/>
        <v>39.355000000000004</v>
      </c>
      <c r="W120" s="47"/>
      <c r="X120" s="47"/>
      <c r="Y120" s="13">
        <v>3.67</v>
      </c>
    </row>
    <row r="121" spans="1:25" ht="30" x14ac:dyDescent="0.25">
      <c r="A121" s="145" t="s">
        <v>1290</v>
      </c>
      <c r="B121" s="145" t="s">
        <v>228</v>
      </c>
      <c r="C121" s="145" t="s">
        <v>1419</v>
      </c>
      <c r="D121" s="100" t="s">
        <v>154</v>
      </c>
      <c r="E121" s="168">
        <v>16.7</v>
      </c>
      <c r="F121" s="145" t="s">
        <v>4</v>
      </c>
      <c r="G121" s="5" t="s">
        <v>437</v>
      </c>
      <c r="H121" s="181"/>
      <c r="I121" s="251"/>
      <c r="J121" s="5"/>
      <c r="K121" s="255" t="s">
        <v>2045</v>
      </c>
      <c r="L121" s="95" t="s">
        <v>10</v>
      </c>
      <c r="M121" s="179" t="s">
        <v>1777</v>
      </c>
      <c r="N121" s="161">
        <v>3000</v>
      </c>
      <c r="O121" s="161">
        <v>2125</v>
      </c>
      <c r="P121" s="47">
        <f t="shared" si="3"/>
        <v>6.375</v>
      </c>
      <c r="Q121" s="13"/>
      <c r="R121" s="13"/>
      <c r="S121" s="47">
        <v>17.399999999999999</v>
      </c>
      <c r="T121" s="47">
        <v>3</v>
      </c>
      <c r="U121" s="47"/>
      <c r="V121" s="47">
        <f t="shared" si="6"/>
        <v>40.154999999999994</v>
      </c>
      <c r="W121" s="47"/>
      <c r="X121" s="47">
        <v>2</v>
      </c>
      <c r="Y121" s="13">
        <v>3.67</v>
      </c>
    </row>
    <row r="122" spans="1:25" ht="30" x14ac:dyDescent="0.25">
      <c r="A122" s="145" t="s">
        <v>1290</v>
      </c>
      <c r="B122" s="145" t="s">
        <v>228</v>
      </c>
      <c r="C122" s="145" t="s">
        <v>1420</v>
      </c>
      <c r="D122" s="100" t="s">
        <v>1421</v>
      </c>
      <c r="E122" s="168">
        <v>45.2</v>
      </c>
      <c r="F122" s="145" t="s">
        <v>4</v>
      </c>
      <c r="G122" s="5" t="s">
        <v>437</v>
      </c>
      <c r="H122" s="181"/>
      <c r="I122" s="251"/>
      <c r="J122" s="5"/>
      <c r="K122" s="255" t="s">
        <v>2045</v>
      </c>
      <c r="L122" s="95" t="s">
        <v>10</v>
      </c>
      <c r="M122" s="179" t="s">
        <v>1777</v>
      </c>
      <c r="N122" s="161">
        <v>4800</v>
      </c>
      <c r="O122" s="161">
        <v>2125</v>
      </c>
      <c r="P122" s="47">
        <f t="shared" si="3"/>
        <v>10.199999999999999</v>
      </c>
      <c r="Q122" s="13"/>
      <c r="R122" s="13"/>
      <c r="S122" s="47">
        <v>26.84</v>
      </c>
      <c r="T122" s="47">
        <v>3</v>
      </c>
      <c r="U122" s="47"/>
      <c r="V122" s="47">
        <f t="shared" si="6"/>
        <v>66.86999999999999</v>
      </c>
      <c r="W122" s="47"/>
      <c r="X122" s="47"/>
      <c r="Y122" s="13">
        <v>3.45</v>
      </c>
    </row>
    <row r="123" spans="1:25" ht="30" x14ac:dyDescent="0.25">
      <c r="A123" s="145" t="s">
        <v>1290</v>
      </c>
      <c r="B123" s="145" t="s">
        <v>228</v>
      </c>
      <c r="C123" s="145" t="s">
        <v>1422</v>
      </c>
      <c r="D123" s="100" t="s">
        <v>1354</v>
      </c>
      <c r="E123" s="168">
        <v>18.899999999999999</v>
      </c>
      <c r="F123" s="145" t="s">
        <v>4</v>
      </c>
      <c r="G123" s="5" t="s">
        <v>437</v>
      </c>
      <c r="H123" s="181"/>
      <c r="I123" s="251"/>
      <c r="J123" s="5"/>
      <c r="K123" s="255" t="s">
        <v>2045</v>
      </c>
      <c r="L123" s="95" t="s">
        <v>10</v>
      </c>
      <c r="M123" s="179" t="s">
        <v>7</v>
      </c>
      <c r="N123" s="161">
        <v>1125</v>
      </c>
      <c r="O123" s="161">
        <v>2125</v>
      </c>
      <c r="P123" s="47">
        <f t="shared" si="3"/>
        <v>2.390625</v>
      </c>
      <c r="Q123" s="13"/>
      <c r="R123" s="13"/>
      <c r="S123" s="47">
        <v>18.649999999999999</v>
      </c>
      <c r="T123" s="47">
        <v>3</v>
      </c>
      <c r="U123" s="47"/>
      <c r="V123" s="47">
        <f t="shared" si="6"/>
        <v>51.559374999999996</v>
      </c>
      <c r="W123" s="47"/>
      <c r="X123" s="47">
        <v>2</v>
      </c>
      <c r="Y123" s="13"/>
    </row>
    <row r="124" spans="1:25" ht="30" x14ac:dyDescent="0.25">
      <c r="A124" s="145" t="s">
        <v>1290</v>
      </c>
      <c r="B124" s="145" t="s">
        <v>228</v>
      </c>
      <c r="C124" s="145" t="s">
        <v>1423</v>
      </c>
      <c r="D124" s="100" t="s">
        <v>154</v>
      </c>
      <c r="E124" s="168">
        <v>17.5</v>
      </c>
      <c r="F124" s="145" t="s">
        <v>4</v>
      </c>
      <c r="G124" s="5" t="s">
        <v>437</v>
      </c>
      <c r="H124" s="181"/>
      <c r="I124" s="251"/>
      <c r="J124" s="5"/>
      <c r="K124" s="255" t="s">
        <v>2045</v>
      </c>
      <c r="L124" s="95" t="s">
        <v>10</v>
      </c>
      <c r="M124" s="179" t="s">
        <v>1777</v>
      </c>
      <c r="N124" s="161">
        <v>3000</v>
      </c>
      <c r="O124" s="161">
        <v>2125</v>
      </c>
      <c r="P124" s="47">
        <f t="shared" si="3"/>
        <v>6.375</v>
      </c>
      <c r="Q124" s="13"/>
      <c r="R124" s="13"/>
      <c r="S124" s="47">
        <v>17.100000000000001</v>
      </c>
      <c r="T124" s="47">
        <v>3</v>
      </c>
      <c r="U124" s="47"/>
      <c r="V124" s="47">
        <f t="shared" si="6"/>
        <v>39.255000000000003</v>
      </c>
      <c r="W124" s="47"/>
      <c r="X124" s="47">
        <v>2</v>
      </c>
      <c r="Y124" s="13">
        <v>3.67</v>
      </c>
    </row>
    <row r="125" spans="1:25" ht="30" x14ac:dyDescent="0.25">
      <c r="A125" s="145" t="s">
        <v>1290</v>
      </c>
      <c r="B125" s="145" t="s">
        <v>228</v>
      </c>
      <c r="C125" s="145" t="s">
        <v>1424</v>
      </c>
      <c r="D125" s="100" t="s">
        <v>1425</v>
      </c>
      <c r="E125" s="168">
        <v>45.2</v>
      </c>
      <c r="F125" s="145" t="s">
        <v>4</v>
      </c>
      <c r="G125" s="5" t="s">
        <v>437</v>
      </c>
      <c r="H125" s="181"/>
      <c r="I125" s="251"/>
      <c r="J125" s="5"/>
      <c r="K125" s="255" t="s">
        <v>2045</v>
      </c>
      <c r="L125" s="95" t="s">
        <v>10</v>
      </c>
      <c r="M125" s="179" t="s">
        <v>1777</v>
      </c>
      <c r="N125" s="161">
        <v>4800</v>
      </c>
      <c r="O125" s="161">
        <v>2125</v>
      </c>
      <c r="P125" s="47">
        <f t="shared" si="3"/>
        <v>10.199999999999999</v>
      </c>
      <c r="Q125" s="13"/>
      <c r="R125" s="13"/>
      <c r="S125" s="47">
        <v>26.84</v>
      </c>
      <c r="T125" s="47">
        <v>3</v>
      </c>
      <c r="U125" s="47"/>
      <c r="V125" s="47">
        <f t="shared" si="6"/>
        <v>66.86999999999999</v>
      </c>
      <c r="W125" s="47"/>
      <c r="X125" s="47"/>
      <c r="Y125" s="13">
        <v>3.45</v>
      </c>
    </row>
    <row r="126" spans="1:25" ht="30" x14ac:dyDescent="0.25">
      <c r="A126" s="145" t="s">
        <v>1290</v>
      </c>
      <c r="B126" s="145" t="s">
        <v>228</v>
      </c>
      <c r="C126" s="145" t="s">
        <v>1426</v>
      </c>
      <c r="D126" s="100" t="s">
        <v>255</v>
      </c>
      <c r="E126" s="168">
        <v>19.100000000000001</v>
      </c>
      <c r="F126" s="145" t="s">
        <v>4</v>
      </c>
      <c r="G126" s="5" t="s">
        <v>437</v>
      </c>
      <c r="H126" s="181"/>
      <c r="I126" s="251"/>
      <c r="J126" s="5"/>
      <c r="K126" s="255" t="s">
        <v>2045</v>
      </c>
      <c r="L126" s="95" t="s">
        <v>10</v>
      </c>
      <c r="M126" s="179" t="s">
        <v>1777</v>
      </c>
      <c r="N126" s="161">
        <v>2200</v>
      </c>
      <c r="O126" s="161">
        <v>2125</v>
      </c>
      <c r="P126" s="47">
        <f t="shared" si="3"/>
        <v>4.6749999999999998</v>
      </c>
      <c r="Q126" s="13"/>
      <c r="R126" s="13"/>
      <c r="S126" s="47">
        <v>18.7</v>
      </c>
      <c r="T126" s="47">
        <v>3</v>
      </c>
      <c r="U126" s="47"/>
      <c r="V126" s="47">
        <f t="shared" si="6"/>
        <v>45.754999999999995</v>
      </c>
      <c r="W126" s="47"/>
      <c r="X126" s="47">
        <v>2</v>
      </c>
      <c r="Y126" s="13">
        <v>3.67</v>
      </c>
    </row>
    <row r="127" spans="1:25" ht="30" x14ac:dyDescent="0.25">
      <c r="A127" s="145" t="s">
        <v>1290</v>
      </c>
      <c r="B127" s="145" t="s">
        <v>228</v>
      </c>
      <c r="C127" s="145" t="s">
        <v>1427</v>
      </c>
      <c r="D127" s="100" t="s">
        <v>154</v>
      </c>
      <c r="E127" s="168">
        <v>17.5</v>
      </c>
      <c r="F127" s="145" t="s">
        <v>4</v>
      </c>
      <c r="G127" s="5" t="s">
        <v>437</v>
      </c>
      <c r="H127" s="181"/>
      <c r="I127" s="251"/>
      <c r="J127" s="5"/>
      <c r="K127" s="255" t="s">
        <v>2045</v>
      </c>
      <c r="L127" s="95" t="s">
        <v>10</v>
      </c>
      <c r="M127" s="179" t="s">
        <v>1777</v>
      </c>
      <c r="N127" s="161">
        <v>3000</v>
      </c>
      <c r="O127" s="161">
        <v>2125</v>
      </c>
      <c r="P127" s="47">
        <f t="shared" si="3"/>
        <v>6.375</v>
      </c>
      <c r="Q127" s="13"/>
      <c r="R127" s="13"/>
      <c r="S127" s="47">
        <v>17.100000000000001</v>
      </c>
      <c r="T127" s="47">
        <v>3</v>
      </c>
      <c r="U127" s="47"/>
      <c r="V127" s="47">
        <f t="shared" si="6"/>
        <v>39.255000000000003</v>
      </c>
      <c r="W127" s="47"/>
      <c r="X127" s="47">
        <v>2</v>
      </c>
      <c r="Y127" s="13">
        <v>3.67</v>
      </c>
    </row>
    <row r="128" spans="1:25" ht="30" x14ac:dyDescent="0.25">
      <c r="A128" s="145" t="s">
        <v>1290</v>
      </c>
      <c r="B128" s="145" t="s">
        <v>228</v>
      </c>
      <c r="C128" s="145" t="s">
        <v>1428</v>
      </c>
      <c r="D128" s="100" t="s">
        <v>223</v>
      </c>
      <c r="E128" s="168">
        <v>2.9</v>
      </c>
      <c r="F128" s="145" t="s">
        <v>4</v>
      </c>
      <c r="G128" s="5" t="s">
        <v>437</v>
      </c>
      <c r="H128" s="181"/>
      <c r="I128" s="251"/>
      <c r="J128" s="5"/>
      <c r="K128" s="255" t="s">
        <v>2045</v>
      </c>
      <c r="L128" s="95" t="s">
        <v>6</v>
      </c>
      <c r="M128" s="179" t="s">
        <v>7</v>
      </c>
      <c r="N128" s="161">
        <v>875</v>
      </c>
      <c r="O128" s="161">
        <v>2125</v>
      </c>
      <c r="P128" s="47">
        <f t="shared" si="3"/>
        <v>1.859375</v>
      </c>
      <c r="Q128" s="13"/>
      <c r="R128" s="13"/>
      <c r="S128" s="47">
        <v>6.84</v>
      </c>
      <c r="T128" s="47">
        <v>2.6</v>
      </c>
      <c r="U128" s="47"/>
      <c r="V128" s="47"/>
      <c r="W128" s="47"/>
      <c r="X128" s="47">
        <f>S128*T128-P128-Y128</f>
        <v>15.924624999999999</v>
      </c>
      <c r="Y128" s="13"/>
    </row>
    <row r="129" spans="1:25" ht="30" x14ac:dyDescent="0.25">
      <c r="A129" s="145" t="s">
        <v>1290</v>
      </c>
      <c r="B129" s="145" t="s">
        <v>228</v>
      </c>
      <c r="C129" s="145" t="s">
        <v>1429</v>
      </c>
      <c r="D129" s="100" t="s">
        <v>1430</v>
      </c>
      <c r="E129" s="168">
        <v>45.2</v>
      </c>
      <c r="F129" s="145" t="s">
        <v>4</v>
      </c>
      <c r="G129" s="5" t="s">
        <v>437</v>
      </c>
      <c r="H129" s="181"/>
      <c r="I129" s="251"/>
      <c r="J129" s="5"/>
      <c r="K129" s="255" t="s">
        <v>2045</v>
      </c>
      <c r="L129" s="95" t="s">
        <v>10</v>
      </c>
      <c r="M129" s="179" t="s">
        <v>1777</v>
      </c>
      <c r="N129" s="161">
        <v>4800</v>
      </c>
      <c r="O129" s="161">
        <v>2125</v>
      </c>
      <c r="P129" s="47">
        <f t="shared" si="3"/>
        <v>10.199999999999999</v>
      </c>
      <c r="Q129" s="13"/>
      <c r="R129" s="13"/>
      <c r="S129" s="47">
        <v>26.87</v>
      </c>
      <c r="T129" s="47">
        <v>3</v>
      </c>
      <c r="U129" s="47"/>
      <c r="V129" s="47">
        <f>S129*T129-P129-Q129-Y129-X129</f>
        <v>66.959999999999994</v>
      </c>
      <c r="W129" s="47"/>
      <c r="X129" s="47"/>
      <c r="Y129" s="13">
        <v>3.45</v>
      </c>
    </row>
    <row r="130" spans="1:25" ht="30" x14ac:dyDescent="0.25">
      <c r="A130" s="145" t="s">
        <v>1290</v>
      </c>
      <c r="B130" s="145" t="s">
        <v>228</v>
      </c>
      <c r="C130" s="145" t="s">
        <v>1431</v>
      </c>
      <c r="D130" s="100" t="s">
        <v>1361</v>
      </c>
      <c r="E130" s="168">
        <v>2.8</v>
      </c>
      <c r="F130" s="145" t="s">
        <v>4</v>
      </c>
      <c r="G130" s="5" t="s">
        <v>437</v>
      </c>
      <c r="H130" s="181"/>
      <c r="I130" s="251"/>
      <c r="J130" s="5"/>
      <c r="K130" s="255" t="s">
        <v>2045</v>
      </c>
      <c r="L130" s="95" t="s">
        <v>81</v>
      </c>
      <c r="M130" s="179" t="s">
        <v>7</v>
      </c>
      <c r="N130" s="161">
        <v>875</v>
      </c>
      <c r="O130" s="161">
        <v>2125</v>
      </c>
      <c r="P130" s="47">
        <f t="shared" si="3"/>
        <v>1.859375</v>
      </c>
      <c r="Q130" s="13"/>
      <c r="R130" s="13"/>
      <c r="S130" s="47">
        <v>6.84</v>
      </c>
      <c r="T130" s="47">
        <v>2.6</v>
      </c>
      <c r="U130" s="47"/>
      <c r="V130" s="47"/>
      <c r="W130" s="47"/>
      <c r="X130" s="47">
        <f>S130*T130-P130-Y130</f>
        <v>15.924624999999999</v>
      </c>
      <c r="Y130" s="13"/>
    </row>
    <row r="131" spans="1:25" ht="30" x14ac:dyDescent="0.25">
      <c r="A131" s="145" t="s">
        <v>1290</v>
      </c>
      <c r="B131" s="145" t="s">
        <v>228</v>
      </c>
      <c r="C131" s="145" t="s">
        <v>1432</v>
      </c>
      <c r="D131" s="100" t="s">
        <v>224</v>
      </c>
      <c r="E131" s="168">
        <v>2.9</v>
      </c>
      <c r="F131" s="145" t="s">
        <v>4</v>
      </c>
      <c r="G131" s="5" t="s">
        <v>437</v>
      </c>
      <c r="H131" s="181"/>
      <c r="I131" s="251"/>
      <c r="J131" s="5"/>
      <c r="K131" s="255" t="s">
        <v>2045</v>
      </c>
      <c r="L131" s="95" t="s">
        <v>6</v>
      </c>
      <c r="M131" s="179" t="s">
        <v>7</v>
      </c>
      <c r="N131" s="161">
        <v>875</v>
      </c>
      <c r="O131" s="161">
        <v>2125</v>
      </c>
      <c r="P131" s="47">
        <f t="shared" si="3"/>
        <v>1.859375</v>
      </c>
      <c r="Q131" s="13"/>
      <c r="R131" s="13"/>
      <c r="S131" s="47">
        <v>6.49</v>
      </c>
      <c r="T131" s="47">
        <v>2.6</v>
      </c>
      <c r="U131" s="47"/>
      <c r="V131" s="47"/>
      <c r="W131" s="47"/>
      <c r="X131" s="47">
        <f>S131*T131-P131-Y131</f>
        <v>15.014625000000002</v>
      </c>
      <c r="Y131" s="13"/>
    </row>
    <row r="132" spans="1:25" ht="30" x14ac:dyDescent="0.25">
      <c r="A132" s="145" t="s">
        <v>1290</v>
      </c>
      <c r="B132" s="145" t="s">
        <v>228</v>
      </c>
      <c r="C132" s="145" t="s">
        <v>1433</v>
      </c>
      <c r="D132" s="100" t="s">
        <v>372</v>
      </c>
      <c r="E132" s="168">
        <v>9</v>
      </c>
      <c r="F132" s="145" t="s">
        <v>4</v>
      </c>
      <c r="G132" s="5" t="s">
        <v>437</v>
      </c>
      <c r="H132" s="181"/>
      <c r="I132" s="251"/>
      <c r="J132" s="5"/>
      <c r="K132" s="255" t="s">
        <v>2045</v>
      </c>
      <c r="L132" s="95" t="s">
        <v>583</v>
      </c>
      <c r="M132" s="179" t="s">
        <v>7</v>
      </c>
      <c r="N132" s="161">
        <v>875</v>
      </c>
      <c r="O132" s="161">
        <v>2125</v>
      </c>
      <c r="P132" s="47">
        <f t="shared" si="3"/>
        <v>1.859375</v>
      </c>
      <c r="Q132" s="13">
        <v>3.45</v>
      </c>
      <c r="R132" s="13"/>
      <c r="S132" s="47">
        <v>12.46</v>
      </c>
      <c r="T132" s="47">
        <v>3</v>
      </c>
      <c r="U132" s="47"/>
      <c r="V132" s="47">
        <f>S132*T132-P132-Q132-Y132-X132</f>
        <v>30.070625</v>
      </c>
      <c r="W132" s="47"/>
      <c r="X132" s="47">
        <v>2</v>
      </c>
      <c r="Y132" s="13"/>
    </row>
    <row r="133" spans="1:25" ht="30" x14ac:dyDescent="0.25">
      <c r="A133" s="145" t="s">
        <v>1290</v>
      </c>
      <c r="B133" s="145" t="s">
        <v>228</v>
      </c>
      <c r="C133" s="145" t="s">
        <v>1434</v>
      </c>
      <c r="D133" s="100" t="s">
        <v>815</v>
      </c>
      <c r="E133" s="168">
        <v>11</v>
      </c>
      <c r="F133" s="145" t="s">
        <v>4</v>
      </c>
      <c r="G133" s="5" t="s">
        <v>437</v>
      </c>
      <c r="H133" s="181"/>
      <c r="I133" s="251"/>
      <c r="J133" s="5"/>
      <c r="K133" s="255" t="s">
        <v>2045</v>
      </c>
      <c r="L133" s="95" t="s">
        <v>583</v>
      </c>
      <c r="M133" s="179" t="s">
        <v>7</v>
      </c>
      <c r="N133" s="161">
        <v>875</v>
      </c>
      <c r="O133" s="161">
        <v>2125</v>
      </c>
      <c r="P133" s="47">
        <f t="shared" ref="P133:P134" si="7">N133*O133*0.000001</f>
        <v>1.859375</v>
      </c>
      <c r="Q133" s="13">
        <v>3.45</v>
      </c>
      <c r="R133" s="13"/>
      <c r="S133" s="47">
        <v>13.52</v>
      </c>
      <c r="T133" s="47">
        <v>3</v>
      </c>
      <c r="U133" s="47"/>
      <c r="V133" s="47">
        <f>S133*T133-P133-Q133-Y133-X133</f>
        <v>21.350625000000001</v>
      </c>
      <c r="W133" s="47"/>
      <c r="X133" s="47">
        <v>13.9</v>
      </c>
      <c r="Y133" s="13"/>
    </row>
    <row r="134" spans="1:25" ht="30" x14ac:dyDescent="0.25">
      <c r="A134" s="145" t="s">
        <v>1290</v>
      </c>
      <c r="B134" s="145" t="s">
        <v>228</v>
      </c>
      <c r="C134" s="145" t="s">
        <v>1435</v>
      </c>
      <c r="D134" s="100" t="s">
        <v>1436</v>
      </c>
      <c r="E134" s="168">
        <v>12.2</v>
      </c>
      <c r="F134" s="145" t="s">
        <v>4</v>
      </c>
      <c r="G134" s="5" t="s">
        <v>437</v>
      </c>
      <c r="H134" s="181"/>
      <c r="I134" s="251"/>
      <c r="J134" s="5"/>
      <c r="K134" s="255" t="s">
        <v>2045</v>
      </c>
      <c r="L134" s="95" t="s">
        <v>583</v>
      </c>
      <c r="M134" s="179" t="s">
        <v>7</v>
      </c>
      <c r="N134" s="161">
        <v>875</v>
      </c>
      <c r="O134" s="161">
        <v>2125</v>
      </c>
      <c r="P134" s="47">
        <f t="shared" si="7"/>
        <v>1.859375</v>
      </c>
      <c r="Q134" s="13">
        <v>3.45</v>
      </c>
      <c r="R134" s="13"/>
      <c r="S134" s="47">
        <v>14.06</v>
      </c>
      <c r="T134" s="47">
        <v>3</v>
      </c>
      <c r="U134" s="47"/>
      <c r="V134" s="47">
        <f>S134*T134-P134-Q134-Y134-X134</f>
        <v>36.870624999999997</v>
      </c>
      <c r="W134" s="47"/>
      <c r="X134" s="47"/>
      <c r="Y134" s="13"/>
    </row>
    <row r="135" spans="1:25" ht="17.25" x14ac:dyDescent="0.25">
      <c r="C135" s="280" t="s">
        <v>274</v>
      </c>
      <c r="E135" s="298">
        <f>SUM(E5:E134)</f>
        <v>2363.6999999999985</v>
      </c>
      <c r="F135" s="280" t="s">
        <v>1560</v>
      </c>
    </row>
    <row r="137" spans="1:25" x14ac:dyDescent="0.25">
      <c r="C137" s="278" t="s">
        <v>1807</v>
      </c>
      <c r="D137" s="342"/>
      <c r="E137" s="358"/>
      <c r="F137" s="65"/>
    </row>
    <row r="138" spans="1:25" ht="17.25" x14ac:dyDescent="0.25">
      <c r="C138" s="65"/>
      <c r="D138" s="358" t="s">
        <v>1808</v>
      </c>
      <c r="E138" s="345">
        <v>0</v>
      </c>
      <c r="F138" s="342" t="s">
        <v>1560</v>
      </c>
    </row>
    <row r="139" spans="1:25" ht="17.25" x14ac:dyDescent="0.25">
      <c r="C139" s="65"/>
      <c r="D139" s="358" t="s">
        <v>37</v>
      </c>
      <c r="E139" s="345">
        <f>SUM(E5:E134)</f>
        <v>2363.6999999999985</v>
      </c>
      <c r="F139" s="342" t="s">
        <v>1560</v>
      </c>
    </row>
    <row r="140" spans="1:25" ht="17.25" x14ac:dyDescent="0.25">
      <c r="C140" s="65"/>
      <c r="D140" s="358" t="s">
        <v>77</v>
      </c>
      <c r="E140" s="345">
        <v>0</v>
      </c>
      <c r="F140" s="342" t="s">
        <v>1560</v>
      </c>
    </row>
    <row r="141" spans="1:25" ht="17.25" x14ac:dyDescent="0.25">
      <c r="C141" s="65"/>
      <c r="D141" s="358" t="s">
        <v>229</v>
      </c>
      <c r="E141" s="345">
        <v>0</v>
      </c>
      <c r="F141" s="342" t="s">
        <v>1560</v>
      </c>
    </row>
    <row r="142" spans="1:25" ht="17.25" x14ac:dyDescent="0.25">
      <c r="C142" s="65"/>
      <c r="D142" s="359" t="s">
        <v>274</v>
      </c>
      <c r="E142" s="345">
        <f>SUM(E138:E141)</f>
        <v>2363.6999999999985</v>
      </c>
      <c r="F142" s="342" t="s">
        <v>1560</v>
      </c>
    </row>
    <row r="143" spans="1:25" x14ac:dyDescent="0.25">
      <c r="C143" s="65"/>
      <c r="D143" s="359"/>
      <c r="E143" s="345"/>
      <c r="F143" s="342"/>
    </row>
    <row r="144" spans="1:25" ht="15.75" x14ac:dyDescent="0.25">
      <c r="C144" s="555" t="s">
        <v>2046</v>
      </c>
      <c r="D144" s="359"/>
      <c r="E144" s="345"/>
      <c r="F144" s="342"/>
    </row>
    <row r="145" spans="3:11" ht="15.75" x14ac:dyDescent="0.25">
      <c r="C145" s="555"/>
      <c r="D145" s="359"/>
      <c r="E145" s="345"/>
      <c r="F145" s="342"/>
    </row>
    <row r="146" spans="3:11" ht="15.75" x14ac:dyDescent="0.25">
      <c r="C146" s="555" t="s">
        <v>2056</v>
      </c>
      <c r="D146" s="556"/>
      <c r="E146" s="557"/>
      <c r="F146" s="554"/>
      <c r="G146" s="554"/>
      <c r="H146" s="554"/>
      <c r="I146" s="554"/>
    </row>
    <row r="147" spans="3:11" ht="15.75" x14ac:dyDescent="0.25">
      <c r="C147" s="555" t="s">
        <v>1989</v>
      </c>
      <c r="D147" s="556"/>
      <c r="E147" s="557"/>
      <c r="F147" s="554"/>
      <c r="G147" s="554"/>
      <c r="H147" s="554"/>
      <c r="I147" s="554"/>
    </row>
    <row r="148" spans="3:11" ht="15.75" x14ac:dyDescent="0.25">
      <c r="C148" s="555"/>
      <c r="D148" s="555" t="s">
        <v>2047</v>
      </c>
      <c r="E148" s="557"/>
      <c r="F148" s="554"/>
      <c r="G148" s="554"/>
      <c r="H148" s="554"/>
      <c r="J148" s="558" t="s">
        <v>2048</v>
      </c>
    </row>
    <row r="149" spans="3:11" ht="15.75" x14ac:dyDescent="0.25">
      <c r="C149" s="555"/>
      <c r="D149" s="555" t="s">
        <v>2051</v>
      </c>
      <c r="E149" s="557"/>
      <c r="F149" s="554"/>
      <c r="G149" s="554"/>
      <c r="H149" s="554"/>
      <c r="J149" s="558" t="s">
        <v>2052</v>
      </c>
    </row>
    <row r="150" spans="3:11" ht="15.75" x14ac:dyDescent="0.25">
      <c r="C150" s="555"/>
      <c r="D150" s="555" t="s">
        <v>2049</v>
      </c>
      <c r="E150" s="557"/>
      <c r="F150" s="554"/>
      <c r="G150" s="554"/>
      <c r="H150" s="554"/>
      <c r="J150" s="558" t="s">
        <v>2050</v>
      </c>
    </row>
    <row r="151" spans="3:11" ht="15.75" x14ac:dyDescent="0.25">
      <c r="C151" s="555" t="s">
        <v>2055</v>
      </c>
      <c r="D151" s="555"/>
      <c r="E151" s="557"/>
      <c r="F151" s="554"/>
      <c r="G151" s="554"/>
      <c r="H151" s="554"/>
      <c r="J151" s="558"/>
    </row>
    <row r="152" spans="3:11" ht="15.75" x14ac:dyDescent="0.25">
      <c r="C152" s="559" t="s">
        <v>2053</v>
      </c>
    </row>
    <row r="153" spans="3:11" x14ac:dyDescent="0.25">
      <c r="D153" s="552"/>
      <c r="E153" s="553"/>
      <c r="F153" s="186"/>
      <c r="G153" s="186"/>
      <c r="H153" s="186"/>
      <c r="I153" s="186"/>
      <c r="J153" s="186"/>
      <c r="K153" s="186"/>
    </row>
    <row r="154" spans="3:11" ht="15.75" x14ac:dyDescent="0.25">
      <c r="C154" s="555" t="s">
        <v>2054</v>
      </c>
      <c r="D154" s="552"/>
      <c r="E154" s="553"/>
      <c r="F154" s="186"/>
      <c r="G154" s="186"/>
      <c r="H154" s="186"/>
      <c r="I154" s="186"/>
      <c r="J154" s="186"/>
      <c r="K154" s="186"/>
    </row>
    <row r="155" spans="3:11" ht="15.75" x14ac:dyDescent="0.25">
      <c r="C155" s="555" t="s">
        <v>1989</v>
      </c>
      <c r="D155" s="556"/>
      <c r="E155" s="553"/>
      <c r="F155" s="186"/>
      <c r="G155" s="186"/>
      <c r="H155" s="186"/>
      <c r="I155" s="186"/>
      <c r="J155" s="186"/>
      <c r="K155" s="186"/>
    </row>
    <row r="156" spans="3:11" ht="15.75" x14ac:dyDescent="0.25">
      <c r="C156" s="555"/>
      <c r="D156" s="555" t="s">
        <v>2047</v>
      </c>
      <c r="E156" s="553"/>
      <c r="F156" s="186"/>
      <c r="G156" s="186"/>
      <c r="H156" s="186"/>
      <c r="I156" s="186"/>
      <c r="J156" s="558" t="s">
        <v>2048</v>
      </c>
      <c r="K156" s="186"/>
    </row>
    <row r="157" spans="3:11" ht="15.75" x14ac:dyDescent="0.25">
      <c r="C157" s="555"/>
      <c r="D157" s="555" t="s">
        <v>2051</v>
      </c>
      <c r="J157" s="558" t="s">
        <v>2059</v>
      </c>
    </row>
    <row r="158" spans="3:11" ht="15.75" x14ac:dyDescent="0.25">
      <c r="C158" s="555"/>
      <c r="D158" s="555" t="s">
        <v>2049</v>
      </c>
      <c r="J158" s="558" t="s">
        <v>2050</v>
      </c>
    </row>
    <row r="159" spans="3:11" ht="15.75" x14ac:dyDescent="0.25">
      <c r="C159" s="555" t="s">
        <v>2057</v>
      </c>
      <c r="D159" s="555"/>
    </row>
    <row r="160" spans="3:11" ht="15.75" x14ac:dyDescent="0.25">
      <c r="C160" s="559" t="s">
        <v>2058</v>
      </c>
    </row>
  </sheetData>
  <sheetProtection password="87E5" sheet="1" objects="1" scenarios="1"/>
  <mergeCells count="26"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  <mergeCell ref="H1:H4"/>
    <mergeCell ref="K1:K4"/>
    <mergeCell ref="G1:G4"/>
    <mergeCell ref="M1:O4"/>
    <mergeCell ref="P1:P4"/>
    <mergeCell ref="A1:F2"/>
    <mergeCell ref="A3:A4"/>
    <mergeCell ref="B3:B4"/>
    <mergeCell ref="C3:C4"/>
    <mergeCell ref="D3:D4"/>
    <mergeCell ref="E3:F4"/>
    <mergeCell ref="Q1:Q4"/>
    <mergeCell ref="R1:R4"/>
    <mergeCell ref="L1:L4"/>
    <mergeCell ref="I1:I4"/>
    <mergeCell ref="J1:J4"/>
  </mergeCells>
  <dataValidations count="1">
    <dataValidation type="list" allowBlank="1" showInputMessage="1" showErrorMessage="1" sqref="G5:G134">
      <formula1>kat</formula1>
    </dataValidation>
  </dataValidations>
  <printOptions horizontalCentered="1"/>
  <pageMargins left="0.11811023622047245" right="0.11811023622047245" top="0.35433070866141736" bottom="0.47244094488188981" header="0.31496062992125984" footer="0.31496062992125984"/>
  <pageSetup paperSize="9" scale="58" fitToHeight="0" orientation="landscape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51"/>
  <sheetViews>
    <sheetView zoomScale="90" zoomScaleNormal="90" workbookViewId="0">
      <pane xSplit="7" ySplit="4" topLeftCell="H124" activePane="bottomRight" state="frozen"/>
      <selection pane="topRight" activeCell="H1" sqref="H1"/>
      <selection pane="bottomLeft" activeCell="A5" sqref="A5"/>
      <selection pane="bottomRight" activeCell="K139" sqref="K139"/>
    </sheetView>
  </sheetViews>
  <sheetFormatPr defaultRowHeight="15" x14ac:dyDescent="0.25"/>
  <cols>
    <col min="1" max="1" width="5" bestFit="1" customWidth="1"/>
    <col min="2" max="2" width="7.42578125" customWidth="1"/>
    <col min="3" max="3" width="10.85546875" customWidth="1"/>
    <col min="4" max="4" width="19.7109375" style="64" customWidth="1"/>
    <col min="5" max="5" width="8.7109375" style="250" bestFit="1" customWidth="1"/>
    <col min="6" max="6" width="3.85546875" bestFit="1" customWidth="1"/>
    <col min="7" max="7" width="12" customWidth="1"/>
    <col min="8" max="8" width="14.42578125" style="137" customWidth="1"/>
    <col min="10" max="10" width="10.85546875" style="186" customWidth="1"/>
    <col min="11" max="11" width="26" customWidth="1"/>
    <col min="12" max="12" width="9.28515625" style="64" customWidth="1"/>
    <col min="13" max="13" width="7" customWidth="1"/>
    <col min="14" max="14" width="7.140625" customWidth="1"/>
    <col min="15" max="15" width="6" customWidth="1"/>
    <col min="16" max="16" width="6.42578125" customWidth="1"/>
    <col min="17" max="17" width="7.85546875" customWidth="1"/>
    <col min="18" max="18" width="8.85546875" customWidth="1"/>
    <col min="19" max="19" width="7.5703125" customWidth="1"/>
    <col min="20" max="20" width="6.5703125" customWidth="1"/>
    <col min="21" max="21" width="7.5703125" customWidth="1"/>
    <col min="22" max="22" width="7.140625" customWidth="1"/>
    <col min="23" max="23" width="7" customWidth="1"/>
    <col min="24" max="24" width="8.140625" customWidth="1"/>
    <col min="25" max="25" width="8.85546875" customWidth="1"/>
    <col min="26" max="26" width="3.5703125" style="186" customWidth="1"/>
    <col min="27" max="27" width="9.140625" style="186" customWidth="1"/>
    <col min="28" max="78" width="9.140625" style="186"/>
  </cols>
  <sheetData>
    <row r="1" spans="1:78" s="65" customFormat="1" ht="15" customHeight="1" x14ac:dyDescent="0.25">
      <c r="A1" s="665" t="s">
        <v>126</v>
      </c>
      <c r="B1" s="666"/>
      <c r="C1" s="666"/>
      <c r="D1" s="666"/>
      <c r="E1" s="666"/>
      <c r="F1" s="671"/>
      <c r="G1" s="673" t="s">
        <v>112</v>
      </c>
      <c r="H1" s="639" t="s">
        <v>1963</v>
      </c>
      <c r="I1" s="622" t="s">
        <v>113</v>
      </c>
      <c r="J1" s="676" t="s">
        <v>114</v>
      </c>
      <c r="K1" s="622" t="s">
        <v>115</v>
      </c>
      <c r="L1" s="686" t="s">
        <v>1561</v>
      </c>
      <c r="M1" s="689" t="s">
        <v>116</v>
      </c>
      <c r="N1" s="628"/>
      <c r="O1" s="629"/>
      <c r="P1" s="636" t="s">
        <v>117</v>
      </c>
      <c r="Q1" s="622" t="s">
        <v>118</v>
      </c>
      <c r="R1" s="622" t="s">
        <v>1563</v>
      </c>
      <c r="S1" s="622" t="s">
        <v>120</v>
      </c>
      <c r="T1" s="622" t="s">
        <v>121</v>
      </c>
      <c r="U1" s="621" t="s">
        <v>122</v>
      </c>
      <c r="V1" s="621"/>
      <c r="W1" s="621"/>
      <c r="X1" s="621"/>
      <c r="Y1" s="616" t="s">
        <v>1513</v>
      </c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</row>
    <row r="2" spans="1:78" s="65" customFormat="1" ht="15" customHeight="1" x14ac:dyDescent="0.25">
      <c r="A2" s="668"/>
      <c r="B2" s="669"/>
      <c r="C2" s="669"/>
      <c r="D2" s="669"/>
      <c r="E2" s="669"/>
      <c r="F2" s="672"/>
      <c r="G2" s="674"/>
      <c r="H2" s="640"/>
      <c r="I2" s="623"/>
      <c r="J2" s="677"/>
      <c r="K2" s="623"/>
      <c r="L2" s="687"/>
      <c r="M2" s="690"/>
      <c r="N2" s="631"/>
      <c r="O2" s="632"/>
      <c r="P2" s="637"/>
      <c r="Q2" s="623"/>
      <c r="R2" s="623"/>
      <c r="S2" s="623"/>
      <c r="T2" s="623"/>
      <c r="U2" s="619" t="s">
        <v>127</v>
      </c>
      <c r="V2" s="619"/>
      <c r="W2" s="619" t="s">
        <v>128</v>
      </c>
      <c r="X2" s="619"/>
      <c r="Y2" s="617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</row>
    <row r="3" spans="1:78" s="63" customFormat="1" x14ac:dyDescent="0.25">
      <c r="A3" s="679" t="s">
        <v>129</v>
      </c>
      <c r="B3" s="681" t="s">
        <v>130</v>
      </c>
      <c r="C3" s="681" t="s">
        <v>131</v>
      </c>
      <c r="D3" s="681" t="s">
        <v>132</v>
      </c>
      <c r="E3" s="683" t="s">
        <v>133</v>
      </c>
      <c r="F3" s="684"/>
      <c r="G3" s="674"/>
      <c r="H3" s="640"/>
      <c r="I3" s="623"/>
      <c r="J3" s="677"/>
      <c r="K3" s="623"/>
      <c r="L3" s="687"/>
      <c r="M3" s="690"/>
      <c r="N3" s="631"/>
      <c r="O3" s="632"/>
      <c r="P3" s="637"/>
      <c r="Q3" s="623"/>
      <c r="R3" s="623"/>
      <c r="S3" s="623"/>
      <c r="T3" s="623"/>
      <c r="U3" s="692" t="s">
        <v>134</v>
      </c>
      <c r="V3" s="692" t="s">
        <v>135</v>
      </c>
      <c r="W3" s="692" t="s">
        <v>136</v>
      </c>
      <c r="X3" s="692" t="s">
        <v>137</v>
      </c>
      <c r="Y3" s="617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</row>
    <row r="4" spans="1:78" s="63" customFormat="1" ht="15.75" thickBot="1" x14ac:dyDescent="0.3">
      <c r="A4" s="680"/>
      <c r="B4" s="678"/>
      <c r="C4" s="682"/>
      <c r="D4" s="682"/>
      <c r="E4" s="685"/>
      <c r="F4" s="675"/>
      <c r="G4" s="675"/>
      <c r="H4" s="641"/>
      <c r="I4" s="624"/>
      <c r="J4" s="678"/>
      <c r="K4" s="624"/>
      <c r="L4" s="688"/>
      <c r="M4" s="691"/>
      <c r="N4" s="634"/>
      <c r="O4" s="635"/>
      <c r="P4" s="638"/>
      <c r="Q4" s="624"/>
      <c r="R4" s="624"/>
      <c r="S4" s="624"/>
      <c r="T4" s="624"/>
      <c r="U4" s="624"/>
      <c r="V4" s="624"/>
      <c r="W4" s="624"/>
      <c r="X4" s="624"/>
      <c r="Y4" s="618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</row>
    <row r="5" spans="1:78" s="15" customFormat="1" ht="30" x14ac:dyDescent="0.25">
      <c r="A5" s="44" t="s">
        <v>0</v>
      </c>
      <c r="B5" s="44" t="s">
        <v>1</v>
      </c>
      <c r="C5" s="73" t="s">
        <v>2</v>
      </c>
      <c r="D5" s="91" t="s">
        <v>3</v>
      </c>
      <c r="E5" s="108">
        <v>2</v>
      </c>
      <c r="F5" s="44" t="s">
        <v>4</v>
      </c>
      <c r="G5" s="21" t="s">
        <v>5</v>
      </c>
      <c r="H5" s="205" t="s">
        <v>738</v>
      </c>
      <c r="I5" s="22"/>
      <c r="J5" s="22"/>
      <c r="K5" s="21" t="s">
        <v>2068</v>
      </c>
      <c r="L5" s="210" t="s">
        <v>6</v>
      </c>
      <c r="M5" s="218" t="s">
        <v>7</v>
      </c>
      <c r="N5" s="109">
        <v>1800</v>
      </c>
      <c r="O5" s="10">
        <v>2100</v>
      </c>
      <c r="P5" s="11">
        <f t="shared" ref="P5:P26" si="0">N5*O5*0.000001</f>
        <v>3.78</v>
      </c>
      <c r="Q5" s="24"/>
      <c r="R5" s="24"/>
      <c r="S5" s="25">
        <v>5.55</v>
      </c>
      <c r="T5" s="24">
        <v>2.7</v>
      </c>
      <c r="U5" s="25">
        <f>S5*T5-P5-Q5-X5-Y5</f>
        <v>3.3300000000000018</v>
      </c>
      <c r="V5" s="24"/>
      <c r="W5" s="24"/>
      <c r="X5" s="25">
        <f>(S5-N5/1000)*2.1</f>
        <v>7.875</v>
      </c>
      <c r="Y5" s="24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</row>
    <row r="6" spans="1:78" s="15" customFormat="1" ht="30" x14ac:dyDescent="0.25">
      <c r="A6" s="1" t="s">
        <v>0</v>
      </c>
      <c r="B6" s="1" t="s">
        <v>1</v>
      </c>
      <c r="C6" s="2" t="s">
        <v>8</v>
      </c>
      <c r="D6" s="3" t="s">
        <v>9</v>
      </c>
      <c r="E6" s="4">
        <v>2.1</v>
      </c>
      <c r="F6" s="1" t="s">
        <v>4</v>
      </c>
      <c r="G6" s="5" t="s">
        <v>5</v>
      </c>
      <c r="H6" s="205" t="s">
        <v>738</v>
      </c>
      <c r="I6" s="6"/>
      <c r="J6" s="6"/>
      <c r="K6" s="21" t="s">
        <v>2068</v>
      </c>
      <c r="L6" s="62" t="s">
        <v>10</v>
      </c>
      <c r="M6" s="8" t="s">
        <v>7</v>
      </c>
      <c r="N6" s="9">
        <v>900</v>
      </c>
      <c r="O6" s="10">
        <v>2100</v>
      </c>
      <c r="P6" s="11">
        <f t="shared" si="0"/>
        <v>1.89</v>
      </c>
      <c r="Q6" s="12"/>
      <c r="R6" s="12"/>
      <c r="S6" s="13">
        <v>5.61</v>
      </c>
      <c r="T6" s="12">
        <v>2.7</v>
      </c>
      <c r="U6" s="16">
        <f>S6*T6-P6-Q6-X6-Y6</f>
        <v>13.257000000000001</v>
      </c>
      <c r="V6" s="12"/>
      <c r="W6" s="12"/>
      <c r="X6" s="13"/>
      <c r="Y6" s="12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</row>
    <row r="7" spans="1:78" s="15" customFormat="1" ht="30" x14ac:dyDescent="0.25">
      <c r="A7" s="2" t="s">
        <v>0</v>
      </c>
      <c r="B7" s="2" t="s">
        <v>1</v>
      </c>
      <c r="C7" s="2" t="s">
        <v>11</v>
      </c>
      <c r="D7" s="3" t="s">
        <v>12</v>
      </c>
      <c r="E7" s="4">
        <v>67.319999999999993</v>
      </c>
      <c r="F7" s="2" t="s">
        <v>4</v>
      </c>
      <c r="G7" s="62" t="s">
        <v>5</v>
      </c>
      <c r="H7" s="205" t="s">
        <v>738</v>
      </c>
      <c r="I7" s="8"/>
      <c r="J7" s="8"/>
      <c r="K7" s="21" t="s">
        <v>2068</v>
      </c>
      <c r="L7" s="62" t="s">
        <v>6</v>
      </c>
      <c r="M7" s="8" t="s">
        <v>7</v>
      </c>
      <c r="N7" s="9">
        <v>7300</v>
      </c>
      <c r="O7" s="109">
        <v>2100</v>
      </c>
      <c r="P7" s="110">
        <f t="shared" si="0"/>
        <v>15.33</v>
      </c>
      <c r="Q7" s="56"/>
      <c r="R7" s="56"/>
      <c r="S7" s="57">
        <v>29.1</v>
      </c>
      <c r="T7" s="56">
        <v>2.7</v>
      </c>
      <c r="U7" s="71">
        <f>S7*T7-P7-Q7-X7-Y7</f>
        <v>63.240000000000009</v>
      </c>
      <c r="V7" s="56"/>
      <c r="W7" s="56"/>
      <c r="X7" s="57"/>
      <c r="Y7" s="56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</row>
    <row r="8" spans="1:78" s="48" customFormat="1" ht="30" x14ac:dyDescent="0.25">
      <c r="A8" s="1" t="s">
        <v>0</v>
      </c>
      <c r="B8" s="1" t="s">
        <v>1</v>
      </c>
      <c r="C8" s="1" t="s">
        <v>13</v>
      </c>
      <c r="D8" s="28" t="s">
        <v>14</v>
      </c>
      <c r="E8" s="29">
        <v>4.08</v>
      </c>
      <c r="F8" s="1" t="s">
        <v>4</v>
      </c>
      <c r="G8" s="5" t="s">
        <v>5</v>
      </c>
      <c r="H8" s="205" t="s">
        <v>738</v>
      </c>
      <c r="I8" s="6"/>
      <c r="J8" s="6"/>
      <c r="K8" s="21" t="s">
        <v>2068</v>
      </c>
      <c r="L8" s="5" t="s">
        <v>6</v>
      </c>
      <c r="M8" s="6" t="s">
        <v>7</v>
      </c>
      <c r="N8" s="31">
        <v>900</v>
      </c>
      <c r="O8" s="31">
        <v>2100</v>
      </c>
      <c r="P8" s="16">
        <f t="shared" si="0"/>
        <v>1.89</v>
      </c>
      <c r="Q8" s="12"/>
      <c r="R8" s="12"/>
      <c r="S8" s="13">
        <v>9.8000000000000007</v>
      </c>
      <c r="T8" s="12">
        <v>2.6</v>
      </c>
      <c r="U8" s="13"/>
      <c r="V8" s="12"/>
      <c r="W8" s="12"/>
      <c r="X8" s="47">
        <f>S8*T8-P8-Q8-Y8</f>
        <v>23.590000000000003</v>
      </c>
      <c r="Y8" s="1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</row>
    <row r="9" spans="1:78" s="15" customFormat="1" ht="30" x14ac:dyDescent="0.25">
      <c r="A9" s="1" t="s">
        <v>0</v>
      </c>
      <c r="B9" s="1" t="s">
        <v>1</v>
      </c>
      <c r="C9" s="1" t="s">
        <v>15</v>
      </c>
      <c r="D9" s="28" t="s">
        <v>3</v>
      </c>
      <c r="E9" s="29">
        <v>2.7</v>
      </c>
      <c r="F9" s="1" t="s">
        <v>4</v>
      </c>
      <c r="G9" s="5" t="s">
        <v>5</v>
      </c>
      <c r="H9" s="205" t="s">
        <v>738</v>
      </c>
      <c r="I9" s="6"/>
      <c r="J9" s="6"/>
      <c r="K9" s="21" t="s">
        <v>2068</v>
      </c>
      <c r="L9" s="21" t="s">
        <v>10</v>
      </c>
      <c r="M9" s="22" t="s">
        <v>7</v>
      </c>
      <c r="N9" s="10">
        <v>2000</v>
      </c>
      <c r="O9" s="10">
        <v>2100</v>
      </c>
      <c r="P9" s="11">
        <f t="shared" si="0"/>
        <v>4.2</v>
      </c>
      <c r="Q9" s="12"/>
      <c r="R9" s="12"/>
      <c r="S9" s="13">
        <v>5.03</v>
      </c>
      <c r="T9" s="12">
        <v>2.7</v>
      </c>
      <c r="U9" s="16">
        <f t="shared" ref="U9:U48" si="1">S9*T9-P9-Q9-X9-Y9</f>
        <v>9.3810000000000002</v>
      </c>
      <c r="V9" s="12"/>
      <c r="W9" s="12"/>
      <c r="X9" s="13"/>
      <c r="Y9" s="12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</row>
    <row r="10" spans="1:78" s="15" customFormat="1" ht="30" x14ac:dyDescent="0.25">
      <c r="A10" s="1" t="s">
        <v>0</v>
      </c>
      <c r="B10" s="1" t="s">
        <v>1</v>
      </c>
      <c r="C10" s="1" t="s">
        <v>16</v>
      </c>
      <c r="D10" s="28" t="s">
        <v>17</v>
      </c>
      <c r="E10" s="29">
        <v>14.1</v>
      </c>
      <c r="F10" s="1" t="s">
        <v>4</v>
      </c>
      <c r="G10" s="5" t="s">
        <v>5</v>
      </c>
      <c r="H10" s="205" t="s">
        <v>738</v>
      </c>
      <c r="I10" s="6"/>
      <c r="J10" s="6"/>
      <c r="K10" s="21" t="s">
        <v>2068</v>
      </c>
      <c r="L10" s="21" t="s">
        <v>10</v>
      </c>
      <c r="M10" s="22" t="s">
        <v>7</v>
      </c>
      <c r="N10" s="10">
        <v>900</v>
      </c>
      <c r="O10" s="10">
        <v>2100</v>
      </c>
      <c r="P10" s="11">
        <f t="shared" si="0"/>
        <v>1.89</v>
      </c>
      <c r="Q10" s="12">
        <v>2.5499999999999998</v>
      </c>
      <c r="R10" s="12">
        <v>0.45</v>
      </c>
      <c r="S10" s="13">
        <v>14.99</v>
      </c>
      <c r="T10" s="12">
        <v>2.7</v>
      </c>
      <c r="U10" s="11">
        <f t="shared" si="1"/>
        <v>34.033000000000008</v>
      </c>
      <c r="V10" s="24"/>
      <c r="W10" s="24"/>
      <c r="X10" s="25">
        <v>2</v>
      </c>
      <c r="Y10" s="12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</row>
    <row r="11" spans="1:78" s="15" customFormat="1" ht="30" x14ac:dyDescent="0.25">
      <c r="A11" s="1" t="s">
        <v>0</v>
      </c>
      <c r="B11" s="1" t="s">
        <v>1</v>
      </c>
      <c r="C11" s="1" t="s">
        <v>18</v>
      </c>
      <c r="D11" s="28" t="s">
        <v>19</v>
      </c>
      <c r="E11" s="29">
        <v>13.7</v>
      </c>
      <c r="F11" s="1" t="s">
        <v>4</v>
      </c>
      <c r="G11" s="5" t="s">
        <v>5</v>
      </c>
      <c r="H11" s="205" t="s">
        <v>738</v>
      </c>
      <c r="I11" s="6"/>
      <c r="J11" s="6"/>
      <c r="K11" s="21" t="s">
        <v>2068</v>
      </c>
      <c r="L11" s="5" t="s">
        <v>10</v>
      </c>
      <c r="M11" s="6" t="s">
        <v>7</v>
      </c>
      <c r="N11" s="31">
        <v>2200</v>
      </c>
      <c r="O11" s="10">
        <v>2100</v>
      </c>
      <c r="P11" s="11">
        <f t="shared" si="0"/>
        <v>4.62</v>
      </c>
      <c r="Q11" s="12"/>
      <c r="R11" s="12"/>
      <c r="S11" s="13">
        <v>15.9</v>
      </c>
      <c r="T11" s="12">
        <v>3</v>
      </c>
      <c r="U11" s="11">
        <f t="shared" si="1"/>
        <v>43.080000000000005</v>
      </c>
      <c r="V11" s="24"/>
      <c r="W11" s="24"/>
      <c r="X11" s="25"/>
      <c r="Y11" s="12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</row>
    <row r="12" spans="1:78" s="15" customFormat="1" ht="30" x14ac:dyDescent="0.25">
      <c r="A12" s="1" t="s">
        <v>0</v>
      </c>
      <c r="B12" s="1" t="s">
        <v>1</v>
      </c>
      <c r="C12" s="1" t="s">
        <v>20</v>
      </c>
      <c r="D12" s="28" t="s">
        <v>9</v>
      </c>
      <c r="E12" s="29">
        <v>2.4</v>
      </c>
      <c r="F12" s="1" t="s">
        <v>4</v>
      </c>
      <c r="G12" s="5" t="s">
        <v>5</v>
      </c>
      <c r="H12" s="205" t="s">
        <v>738</v>
      </c>
      <c r="I12" s="6"/>
      <c r="J12" s="6"/>
      <c r="K12" s="21" t="s">
        <v>2068</v>
      </c>
      <c r="L12" s="5" t="s">
        <v>10</v>
      </c>
      <c r="M12" s="6" t="s">
        <v>7</v>
      </c>
      <c r="N12" s="31">
        <v>900</v>
      </c>
      <c r="O12" s="10">
        <v>2100</v>
      </c>
      <c r="P12" s="11">
        <f t="shared" si="0"/>
        <v>1.89</v>
      </c>
      <c r="Q12" s="12"/>
      <c r="R12" s="12"/>
      <c r="S12" s="13">
        <v>6.18</v>
      </c>
      <c r="T12" s="12">
        <v>2.7</v>
      </c>
      <c r="U12" s="16">
        <f t="shared" si="1"/>
        <v>14.795999999999999</v>
      </c>
      <c r="V12" s="12"/>
      <c r="W12" s="12"/>
      <c r="X12" s="13"/>
      <c r="Y12" s="1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</row>
    <row r="13" spans="1:78" s="15" customFormat="1" ht="30" x14ac:dyDescent="0.25">
      <c r="A13" s="1" t="s">
        <v>0</v>
      </c>
      <c r="B13" s="1" t="s">
        <v>1</v>
      </c>
      <c r="C13" s="1" t="s">
        <v>21</v>
      </c>
      <c r="D13" s="28" t="s">
        <v>3</v>
      </c>
      <c r="E13" s="29">
        <v>2.7</v>
      </c>
      <c r="F13" s="1" t="s">
        <v>4</v>
      </c>
      <c r="G13" s="5" t="s">
        <v>5</v>
      </c>
      <c r="H13" s="205" t="s">
        <v>738</v>
      </c>
      <c r="I13" s="6"/>
      <c r="J13" s="6"/>
      <c r="K13" s="21" t="s">
        <v>2068</v>
      </c>
      <c r="L13" s="5" t="s">
        <v>10</v>
      </c>
      <c r="M13" s="6" t="s">
        <v>7</v>
      </c>
      <c r="N13" s="31">
        <v>2000</v>
      </c>
      <c r="O13" s="10">
        <v>2100</v>
      </c>
      <c r="P13" s="11">
        <f t="shared" si="0"/>
        <v>4.2</v>
      </c>
      <c r="Q13" s="12"/>
      <c r="R13" s="12"/>
      <c r="S13" s="13">
        <v>5.54</v>
      </c>
      <c r="T13" s="12">
        <v>2.7</v>
      </c>
      <c r="U13" s="16">
        <f t="shared" si="1"/>
        <v>10.758000000000003</v>
      </c>
      <c r="V13" s="12"/>
      <c r="W13" s="12"/>
      <c r="X13" s="13"/>
      <c r="Y13" s="12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</row>
    <row r="14" spans="1:78" s="15" customFormat="1" ht="30" x14ac:dyDescent="0.25">
      <c r="A14" s="1" t="s">
        <v>0</v>
      </c>
      <c r="B14" s="1" t="s">
        <v>1</v>
      </c>
      <c r="C14" s="1" t="s">
        <v>22</v>
      </c>
      <c r="D14" s="28" t="s">
        <v>17</v>
      </c>
      <c r="E14" s="29">
        <v>14.3</v>
      </c>
      <c r="F14" s="1" t="s">
        <v>4</v>
      </c>
      <c r="G14" s="5" t="s">
        <v>5</v>
      </c>
      <c r="H14" s="205" t="s">
        <v>738</v>
      </c>
      <c r="I14" s="6"/>
      <c r="J14" s="6"/>
      <c r="K14" s="21" t="s">
        <v>2068</v>
      </c>
      <c r="L14" s="5" t="s">
        <v>10</v>
      </c>
      <c r="M14" s="6" t="s">
        <v>7</v>
      </c>
      <c r="N14" s="31">
        <v>1800</v>
      </c>
      <c r="O14" s="10">
        <v>2100</v>
      </c>
      <c r="P14" s="11">
        <f t="shared" si="0"/>
        <v>3.78</v>
      </c>
      <c r="Q14" s="12">
        <v>2.5499999999999998</v>
      </c>
      <c r="R14" s="12">
        <v>0.45</v>
      </c>
      <c r="S14" s="13">
        <v>15.6</v>
      </c>
      <c r="T14" s="12">
        <v>2.7</v>
      </c>
      <c r="U14" s="11">
        <f t="shared" si="1"/>
        <v>33.790000000000006</v>
      </c>
      <c r="V14" s="12"/>
      <c r="W14" s="12"/>
      <c r="X14" s="13">
        <v>2</v>
      </c>
      <c r="Y14" s="12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</row>
    <row r="15" spans="1:78" s="15" customFormat="1" ht="30" x14ac:dyDescent="0.25">
      <c r="A15" s="1" t="s">
        <v>0</v>
      </c>
      <c r="B15" s="1" t="s">
        <v>1</v>
      </c>
      <c r="C15" s="1" t="s">
        <v>23</v>
      </c>
      <c r="D15" s="28" t="s">
        <v>9</v>
      </c>
      <c r="E15" s="29">
        <v>2.4</v>
      </c>
      <c r="F15" s="1" t="s">
        <v>4</v>
      </c>
      <c r="G15" s="5" t="s">
        <v>5</v>
      </c>
      <c r="H15" s="205" t="s">
        <v>738</v>
      </c>
      <c r="I15" s="6"/>
      <c r="J15" s="6"/>
      <c r="K15" s="21" t="s">
        <v>2068</v>
      </c>
      <c r="L15" s="5" t="s">
        <v>10</v>
      </c>
      <c r="M15" s="6" t="s">
        <v>7</v>
      </c>
      <c r="N15" s="31">
        <v>900</v>
      </c>
      <c r="O15" s="10">
        <v>2100</v>
      </c>
      <c r="P15" s="11">
        <f t="shared" si="0"/>
        <v>1.89</v>
      </c>
      <c r="Q15" s="12"/>
      <c r="R15" s="12"/>
      <c r="S15" s="13">
        <v>6.16</v>
      </c>
      <c r="T15" s="12">
        <v>2.7</v>
      </c>
      <c r="U15" s="16">
        <f t="shared" si="1"/>
        <v>14.742000000000001</v>
      </c>
      <c r="V15" s="12"/>
      <c r="W15" s="12"/>
      <c r="X15" s="13"/>
      <c r="Y15" s="12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</row>
    <row r="16" spans="1:78" s="15" customFormat="1" ht="30" x14ac:dyDescent="0.25">
      <c r="A16" s="1" t="s">
        <v>0</v>
      </c>
      <c r="B16" s="1" t="s">
        <v>1</v>
      </c>
      <c r="C16" s="1" t="s">
        <v>24</v>
      </c>
      <c r="D16" s="28" t="s">
        <v>3</v>
      </c>
      <c r="E16" s="29">
        <v>4.5</v>
      </c>
      <c r="F16" s="1" t="s">
        <v>4</v>
      </c>
      <c r="G16" s="5" t="s">
        <v>5</v>
      </c>
      <c r="H16" s="205" t="s">
        <v>738</v>
      </c>
      <c r="I16" s="6"/>
      <c r="J16" s="6"/>
      <c r="K16" s="21" t="s">
        <v>2068</v>
      </c>
      <c r="L16" s="5" t="s">
        <v>10</v>
      </c>
      <c r="M16" s="6" t="s">
        <v>7</v>
      </c>
      <c r="N16" s="31">
        <v>2000</v>
      </c>
      <c r="O16" s="10">
        <v>2100</v>
      </c>
      <c r="P16" s="11">
        <f t="shared" si="0"/>
        <v>4.2</v>
      </c>
      <c r="Q16" s="12"/>
      <c r="R16" s="12"/>
      <c r="S16" s="13">
        <v>7.2</v>
      </c>
      <c r="T16" s="12">
        <v>2.7</v>
      </c>
      <c r="U16" s="11">
        <f t="shared" si="1"/>
        <v>15.240000000000002</v>
      </c>
      <c r="V16" s="12"/>
      <c r="W16" s="12"/>
      <c r="X16" s="13"/>
      <c r="Y16" s="12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</row>
    <row r="17" spans="1:78" s="15" customFormat="1" ht="30" x14ac:dyDescent="0.25">
      <c r="A17" s="1" t="s">
        <v>0</v>
      </c>
      <c r="B17" s="1" t="s">
        <v>1</v>
      </c>
      <c r="C17" s="1" t="s">
        <v>25</v>
      </c>
      <c r="D17" s="28" t="s">
        <v>17</v>
      </c>
      <c r="E17" s="29">
        <v>14.2</v>
      </c>
      <c r="F17" s="1" t="s">
        <v>4</v>
      </c>
      <c r="G17" s="5" t="s">
        <v>5</v>
      </c>
      <c r="H17" s="205" t="s">
        <v>738</v>
      </c>
      <c r="I17" s="6"/>
      <c r="J17" s="6"/>
      <c r="K17" s="21" t="s">
        <v>2068</v>
      </c>
      <c r="L17" s="5" t="s">
        <v>10</v>
      </c>
      <c r="M17" s="6" t="s">
        <v>7</v>
      </c>
      <c r="N17" s="31">
        <v>900</v>
      </c>
      <c r="O17" s="10">
        <v>2100</v>
      </c>
      <c r="P17" s="11">
        <f t="shared" si="0"/>
        <v>1.89</v>
      </c>
      <c r="Q17" s="12">
        <v>2.5499999999999998</v>
      </c>
      <c r="R17" s="12">
        <v>0.45</v>
      </c>
      <c r="S17" s="13">
        <v>15.57</v>
      </c>
      <c r="T17" s="12">
        <v>2.7</v>
      </c>
      <c r="U17" s="11">
        <f t="shared" si="1"/>
        <v>35.599000000000004</v>
      </c>
      <c r="V17" s="12"/>
      <c r="W17" s="12"/>
      <c r="X17" s="13">
        <v>2</v>
      </c>
      <c r="Y17" s="12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</row>
    <row r="18" spans="1:78" s="15" customFormat="1" ht="30" x14ac:dyDescent="0.25">
      <c r="A18" s="1" t="s">
        <v>0</v>
      </c>
      <c r="B18" s="1" t="s">
        <v>1</v>
      </c>
      <c r="C18" s="1" t="s">
        <v>26</v>
      </c>
      <c r="D18" s="28" t="s">
        <v>17</v>
      </c>
      <c r="E18" s="29">
        <v>22.7</v>
      </c>
      <c r="F18" s="1" t="s">
        <v>4</v>
      </c>
      <c r="G18" s="5" t="s">
        <v>5</v>
      </c>
      <c r="H18" s="205" t="s">
        <v>738</v>
      </c>
      <c r="I18" s="6"/>
      <c r="J18" s="6"/>
      <c r="K18" s="21" t="s">
        <v>2068</v>
      </c>
      <c r="L18" s="5" t="s">
        <v>10</v>
      </c>
      <c r="M18" s="6" t="s">
        <v>7</v>
      </c>
      <c r="N18" s="31">
        <v>2000</v>
      </c>
      <c r="O18" s="10">
        <v>2100</v>
      </c>
      <c r="P18" s="11">
        <f t="shared" si="0"/>
        <v>4.2</v>
      </c>
      <c r="Q18" s="12">
        <v>2.5499999999999998</v>
      </c>
      <c r="R18" s="12">
        <v>0.45</v>
      </c>
      <c r="S18" s="13">
        <v>26.69</v>
      </c>
      <c r="T18" s="12">
        <v>2.7</v>
      </c>
      <c r="U18" s="11">
        <f t="shared" si="1"/>
        <v>63.313000000000002</v>
      </c>
      <c r="V18" s="12"/>
      <c r="W18" s="12"/>
      <c r="X18" s="13">
        <v>2</v>
      </c>
      <c r="Y18" s="12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</row>
    <row r="19" spans="1:78" s="15" customFormat="1" ht="30" x14ac:dyDescent="0.25">
      <c r="A19" s="1" t="s">
        <v>0</v>
      </c>
      <c r="B19" s="1" t="s">
        <v>1</v>
      </c>
      <c r="C19" s="1" t="s">
        <v>27</v>
      </c>
      <c r="D19" s="28" t="s">
        <v>9</v>
      </c>
      <c r="E19" s="29">
        <v>2.2999999999999998</v>
      </c>
      <c r="F19" s="1" t="s">
        <v>4</v>
      </c>
      <c r="G19" s="5" t="s">
        <v>5</v>
      </c>
      <c r="H19" s="205" t="s">
        <v>738</v>
      </c>
      <c r="I19" s="6"/>
      <c r="J19" s="6"/>
      <c r="K19" s="21" t="s">
        <v>2068</v>
      </c>
      <c r="L19" s="5" t="s">
        <v>10</v>
      </c>
      <c r="M19" s="6" t="s">
        <v>7</v>
      </c>
      <c r="N19" s="31">
        <v>1800</v>
      </c>
      <c r="O19" s="10">
        <v>2100</v>
      </c>
      <c r="P19" s="11">
        <f t="shared" si="0"/>
        <v>3.78</v>
      </c>
      <c r="Q19" s="12"/>
      <c r="R19" s="12"/>
      <c r="S19" s="13">
        <v>5.96</v>
      </c>
      <c r="T19" s="12">
        <v>2.7</v>
      </c>
      <c r="U19" s="11">
        <f t="shared" si="1"/>
        <v>12.312000000000003</v>
      </c>
      <c r="V19" s="12"/>
      <c r="W19" s="12"/>
      <c r="X19" s="13"/>
      <c r="Y19" s="12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</row>
    <row r="20" spans="1:78" s="15" customFormat="1" ht="30" x14ac:dyDescent="0.25">
      <c r="A20" s="1" t="s">
        <v>0</v>
      </c>
      <c r="B20" s="1" t="s">
        <v>1</v>
      </c>
      <c r="C20" s="1" t="s">
        <v>28</v>
      </c>
      <c r="D20" s="28" t="s">
        <v>12</v>
      </c>
      <c r="E20" s="29">
        <v>19.899999999999999</v>
      </c>
      <c r="F20" s="1" t="s">
        <v>4</v>
      </c>
      <c r="G20" s="5" t="s">
        <v>5</v>
      </c>
      <c r="H20" s="205" t="s">
        <v>738</v>
      </c>
      <c r="I20" s="6"/>
      <c r="J20" s="6"/>
      <c r="K20" s="21" t="s">
        <v>2068</v>
      </c>
      <c r="L20" s="5" t="s">
        <v>6</v>
      </c>
      <c r="M20" s="6" t="s">
        <v>7</v>
      </c>
      <c r="N20" s="31">
        <v>7300</v>
      </c>
      <c r="O20" s="10">
        <v>2100</v>
      </c>
      <c r="P20" s="11">
        <f t="shared" si="0"/>
        <v>15.33</v>
      </c>
      <c r="Q20" s="12"/>
      <c r="R20" s="12"/>
      <c r="S20" s="13">
        <v>15.4</v>
      </c>
      <c r="T20" s="12">
        <v>2.5</v>
      </c>
      <c r="U20" s="11">
        <f t="shared" si="1"/>
        <v>23.17</v>
      </c>
      <c r="V20" s="12"/>
      <c r="W20" s="12"/>
      <c r="X20" s="13"/>
      <c r="Y20" s="12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</row>
    <row r="21" spans="1:78" s="15" customFormat="1" ht="30" x14ac:dyDescent="0.25">
      <c r="A21" s="1" t="s">
        <v>0</v>
      </c>
      <c r="B21" s="1" t="s">
        <v>1</v>
      </c>
      <c r="C21" s="1" t="s">
        <v>29</v>
      </c>
      <c r="D21" s="28" t="s">
        <v>9</v>
      </c>
      <c r="E21" s="29">
        <v>1.8</v>
      </c>
      <c r="F21" s="1" t="s">
        <v>4</v>
      </c>
      <c r="G21" s="5" t="s">
        <v>5</v>
      </c>
      <c r="H21" s="205" t="s">
        <v>738</v>
      </c>
      <c r="I21" s="6"/>
      <c r="J21" s="6"/>
      <c r="K21" s="21" t="s">
        <v>2068</v>
      </c>
      <c r="L21" s="5" t="s">
        <v>10</v>
      </c>
      <c r="M21" s="6" t="s">
        <v>7</v>
      </c>
      <c r="N21" s="31">
        <v>1800</v>
      </c>
      <c r="O21" s="10">
        <v>2100</v>
      </c>
      <c r="P21" s="11">
        <f t="shared" si="0"/>
        <v>3.78</v>
      </c>
      <c r="Q21" s="12"/>
      <c r="R21" s="12"/>
      <c r="S21" s="13">
        <v>5.42</v>
      </c>
      <c r="T21" s="12">
        <v>2.7</v>
      </c>
      <c r="U21" s="11">
        <f t="shared" si="1"/>
        <v>10.854000000000001</v>
      </c>
      <c r="V21" s="12"/>
      <c r="W21" s="12"/>
      <c r="X21" s="13"/>
      <c r="Y21" s="12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</row>
    <row r="22" spans="1:78" s="15" customFormat="1" ht="30" x14ac:dyDescent="0.25">
      <c r="A22" s="1" t="s">
        <v>0</v>
      </c>
      <c r="B22" s="1" t="s">
        <v>1</v>
      </c>
      <c r="C22" s="1" t="s">
        <v>30</v>
      </c>
      <c r="D22" s="28" t="s">
        <v>17</v>
      </c>
      <c r="E22" s="29">
        <v>22.1</v>
      </c>
      <c r="F22" s="1" t="s">
        <v>4</v>
      </c>
      <c r="G22" s="5" t="s">
        <v>5</v>
      </c>
      <c r="H22" s="205" t="s">
        <v>738</v>
      </c>
      <c r="I22" s="6"/>
      <c r="J22" s="6"/>
      <c r="K22" s="21" t="s">
        <v>2068</v>
      </c>
      <c r="L22" s="5" t="s">
        <v>10</v>
      </c>
      <c r="M22" s="6" t="s">
        <v>7</v>
      </c>
      <c r="N22" s="31">
        <v>3100</v>
      </c>
      <c r="O22" s="10">
        <v>2100</v>
      </c>
      <c r="P22" s="11">
        <f t="shared" si="0"/>
        <v>6.51</v>
      </c>
      <c r="Q22" s="12">
        <v>2.5499999999999998</v>
      </c>
      <c r="R22" s="12">
        <v>0.45</v>
      </c>
      <c r="S22" s="13">
        <v>22.58</v>
      </c>
      <c r="T22" s="12">
        <v>2.7</v>
      </c>
      <c r="U22" s="11">
        <f t="shared" si="1"/>
        <v>49.906000000000006</v>
      </c>
      <c r="V22" s="12"/>
      <c r="W22" s="12"/>
      <c r="X22" s="13">
        <v>2</v>
      </c>
      <c r="Y22" s="1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</row>
    <row r="23" spans="1:78" s="15" customFormat="1" ht="30" x14ac:dyDescent="0.25">
      <c r="A23" s="1" t="s">
        <v>0</v>
      </c>
      <c r="B23" s="1" t="s">
        <v>1</v>
      </c>
      <c r="C23" s="1" t="s">
        <v>31</v>
      </c>
      <c r="D23" s="28" t="s">
        <v>32</v>
      </c>
      <c r="E23" s="29">
        <v>14.9</v>
      </c>
      <c r="F23" s="1" t="s">
        <v>4</v>
      </c>
      <c r="G23" s="5" t="s">
        <v>5</v>
      </c>
      <c r="H23" s="205" t="s">
        <v>738</v>
      </c>
      <c r="I23" s="6"/>
      <c r="J23" s="6"/>
      <c r="K23" s="21" t="s">
        <v>2068</v>
      </c>
      <c r="L23" s="5" t="s">
        <v>10</v>
      </c>
      <c r="M23" s="6" t="s">
        <v>7</v>
      </c>
      <c r="N23" s="31">
        <v>1100</v>
      </c>
      <c r="O23" s="10">
        <v>2100</v>
      </c>
      <c r="P23" s="11">
        <f t="shared" si="0"/>
        <v>2.31</v>
      </c>
      <c r="Q23" s="12">
        <v>1.27</v>
      </c>
      <c r="R23" s="12"/>
      <c r="S23" s="13">
        <v>17.54</v>
      </c>
      <c r="T23" s="12">
        <v>2.7</v>
      </c>
      <c r="U23" s="16">
        <f t="shared" si="1"/>
        <v>41.777999999999999</v>
      </c>
      <c r="V23" s="12"/>
      <c r="W23" s="12"/>
      <c r="X23" s="13">
        <v>2</v>
      </c>
      <c r="Y23" s="12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</row>
    <row r="24" spans="1:78" s="15" customFormat="1" ht="30" x14ac:dyDescent="0.25">
      <c r="A24" s="1" t="s">
        <v>0</v>
      </c>
      <c r="B24" s="1" t="s">
        <v>1</v>
      </c>
      <c r="C24" s="1" t="s">
        <v>33</v>
      </c>
      <c r="D24" s="28" t="s">
        <v>34</v>
      </c>
      <c r="E24" s="29">
        <v>11.5</v>
      </c>
      <c r="F24" s="1" t="s">
        <v>4</v>
      </c>
      <c r="G24" s="5" t="s">
        <v>5</v>
      </c>
      <c r="H24" s="205" t="s">
        <v>738</v>
      </c>
      <c r="I24" s="6"/>
      <c r="J24" s="6"/>
      <c r="K24" s="21" t="s">
        <v>2068</v>
      </c>
      <c r="L24" s="5" t="s">
        <v>10</v>
      </c>
      <c r="M24" s="6" t="s">
        <v>7</v>
      </c>
      <c r="N24" s="31">
        <v>2000</v>
      </c>
      <c r="O24" s="10">
        <v>2100</v>
      </c>
      <c r="P24" s="11">
        <f t="shared" si="0"/>
        <v>4.2</v>
      </c>
      <c r="Q24" s="12"/>
      <c r="R24" s="12"/>
      <c r="S24" s="13">
        <v>13.53</v>
      </c>
      <c r="T24" s="12">
        <v>2.7</v>
      </c>
      <c r="U24" s="16">
        <f t="shared" si="1"/>
        <v>32.330999999999996</v>
      </c>
      <c r="V24" s="12"/>
      <c r="W24" s="12"/>
      <c r="X24" s="13"/>
      <c r="Y24" s="12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</row>
    <row r="25" spans="1:78" s="15" customFormat="1" ht="30" x14ac:dyDescent="0.25">
      <c r="A25" s="1" t="s">
        <v>0</v>
      </c>
      <c r="B25" s="1" t="s">
        <v>1</v>
      </c>
      <c r="C25" s="1" t="s">
        <v>35</v>
      </c>
      <c r="D25" s="28" t="s">
        <v>34</v>
      </c>
      <c r="E25" s="29">
        <v>13.9</v>
      </c>
      <c r="F25" s="1" t="s">
        <v>4</v>
      </c>
      <c r="G25" s="5" t="s">
        <v>5</v>
      </c>
      <c r="H25" s="205" t="s">
        <v>738</v>
      </c>
      <c r="I25" s="6"/>
      <c r="J25" s="6"/>
      <c r="K25" s="21" t="s">
        <v>2068</v>
      </c>
      <c r="L25" s="5" t="s">
        <v>10</v>
      </c>
      <c r="M25" s="6" t="s">
        <v>7</v>
      </c>
      <c r="N25" s="31">
        <v>2200</v>
      </c>
      <c r="O25" s="10">
        <v>2100</v>
      </c>
      <c r="P25" s="11">
        <f t="shared" si="0"/>
        <v>4.62</v>
      </c>
      <c r="Q25" s="12"/>
      <c r="R25" s="12"/>
      <c r="S25" s="13">
        <v>17.21</v>
      </c>
      <c r="T25" s="12">
        <v>2.7</v>
      </c>
      <c r="U25" s="16">
        <f t="shared" si="1"/>
        <v>41.847000000000008</v>
      </c>
      <c r="V25" s="12"/>
      <c r="W25" s="12"/>
      <c r="X25" s="13"/>
      <c r="Y25" s="1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</row>
    <row r="26" spans="1:78" s="15" customFormat="1" ht="30" x14ac:dyDescent="0.25">
      <c r="A26" s="1" t="s">
        <v>0</v>
      </c>
      <c r="B26" s="1" t="s">
        <v>1</v>
      </c>
      <c r="C26" s="1" t="s">
        <v>36</v>
      </c>
      <c r="D26" s="28" t="s">
        <v>32</v>
      </c>
      <c r="E26" s="29">
        <v>9.5</v>
      </c>
      <c r="F26" s="1" t="s">
        <v>4</v>
      </c>
      <c r="G26" s="5" t="s">
        <v>5</v>
      </c>
      <c r="H26" s="205" t="s">
        <v>738</v>
      </c>
      <c r="I26" s="6"/>
      <c r="J26" s="6"/>
      <c r="K26" s="21" t="s">
        <v>2068</v>
      </c>
      <c r="L26" s="5" t="s">
        <v>10</v>
      </c>
      <c r="M26" s="6"/>
      <c r="N26" s="31"/>
      <c r="O26" s="10"/>
      <c r="P26" s="11">
        <f t="shared" si="0"/>
        <v>0</v>
      </c>
      <c r="Q26" s="12">
        <v>1.27</v>
      </c>
      <c r="R26" s="12"/>
      <c r="S26" s="13">
        <v>13.98</v>
      </c>
      <c r="T26" s="12">
        <v>2.7</v>
      </c>
      <c r="U26" s="16">
        <f t="shared" si="1"/>
        <v>34.475999999999999</v>
      </c>
      <c r="V26" s="12"/>
      <c r="W26" s="12"/>
      <c r="X26" s="13">
        <v>2</v>
      </c>
      <c r="Y26" s="12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</row>
    <row r="27" spans="1:78" s="15" customFormat="1" x14ac:dyDescent="0.25">
      <c r="A27" s="6" t="s">
        <v>0</v>
      </c>
      <c r="B27" s="6" t="s">
        <v>37</v>
      </c>
      <c r="C27" s="33" t="s">
        <v>38</v>
      </c>
      <c r="D27" s="34" t="s">
        <v>39</v>
      </c>
      <c r="E27" s="16">
        <v>9.4499999999999993</v>
      </c>
      <c r="F27" s="6" t="s">
        <v>4</v>
      </c>
      <c r="G27" s="34" t="s">
        <v>5</v>
      </c>
      <c r="H27" s="205" t="s">
        <v>738</v>
      </c>
      <c r="I27" s="6"/>
      <c r="J27" s="33"/>
      <c r="K27" s="5" t="s">
        <v>2069</v>
      </c>
      <c r="L27" s="5" t="s">
        <v>40</v>
      </c>
      <c r="M27" s="6"/>
      <c r="N27" s="31"/>
      <c r="O27" s="10"/>
      <c r="P27" s="11">
        <v>4</v>
      </c>
      <c r="Q27" s="35">
        <v>0.66</v>
      </c>
      <c r="R27" s="12"/>
      <c r="S27" s="36">
        <v>11.84</v>
      </c>
      <c r="T27" s="35">
        <v>3.27</v>
      </c>
      <c r="U27" s="16">
        <f t="shared" si="1"/>
        <v>34.056800000000003</v>
      </c>
      <c r="V27" s="12"/>
      <c r="W27" s="12"/>
      <c r="X27" s="37"/>
      <c r="Y27" s="1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</row>
    <row r="28" spans="1:78" s="15" customFormat="1" x14ac:dyDescent="0.25">
      <c r="A28" s="6" t="s">
        <v>0</v>
      </c>
      <c r="B28" s="6" t="s">
        <v>37</v>
      </c>
      <c r="C28" s="33" t="s">
        <v>41</v>
      </c>
      <c r="D28" s="34" t="s">
        <v>39</v>
      </c>
      <c r="E28" s="16">
        <v>1.27</v>
      </c>
      <c r="F28" s="6" t="s">
        <v>4</v>
      </c>
      <c r="G28" s="34" t="s">
        <v>5</v>
      </c>
      <c r="H28" s="205" t="s">
        <v>738</v>
      </c>
      <c r="I28" s="6"/>
      <c r="J28" s="33"/>
      <c r="K28" s="5" t="s">
        <v>2069</v>
      </c>
      <c r="L28" s="5" t="s">
        <v>40</v>
      </c>
      <c r="M28" s="6"/>
      <c r="N28" s="31"/>
      <c r="O28" s="10"/>
      <c r="P28" s="11">
        <v>1.69</v>
      </c>
      <c r="Q28" s="35"/>
      <c r="R28" s="12"/>
      <c r="S28" s="36">
        <v>4.58</v>
      </c>
      <c r="T28" s="35">
        <v>2.56</v>
      </c>
      <c r="U28" s="16">
        <f t="shared" si="1"/>
        <v>10.034800000000001</v>
      </c>
      <c r="V28" s="12"/>
      <c r="W28" s="12"/>
      <c r="X28" s="37"/>
      <c r="Y28" s="12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</row>
    <row r="29" spans="1:78" s="15" customFormat="1" x14ac:dyDescent="0.25">
      <c r="A29" s="6" t="s">
        <v>0</v>
      </c>
      <c r="B29" s="6" t="s">
        <v>37</v>
      </c>
      <c r="C29" s="33" t="s">
        <v>42</v>
      </c>
      <c r="D29" s="34" t="s">
        <v>39</v>
      </c>
      <c r="E29" s="16">
        <v>1.27</v>
      </c>
      <c r="F29" s="6" t="s">
        <v>4</v>
      </c>
      <c r="G29" s="34" t="s">
        <v>5</v>
      </c>
      <c r="H29" s="205" t="s">
        <v>738</v>
      </c>
      <c r="I29" s="6"/>
      <c r="J29" s="33"/>
      <c r="K29" s="5" t="s">
        <v>2069</v>
      </c>
      <c r="L29" s="5" t="s">
        <v>40</v>
      </c>
      <c r="M29" s="6"/>
      <c r="N29" s="31"/>
      <c r="O29" s="10"/>
      <c r="P29" s="11">
        <v>1.69</v>
      </c>
      <c r="Q29" s="35"/>
      <c r="R29" s="12"/>
      <c r="S29" s="36">
        <v>4.58</v>
      </c>
      <c r="T29" s="35">
        <v>2.56</v>
      </c>
      <c r="U29" s="11">
        <f t="shared" si="1"/>
        <v>10.034800000000001</v>
      </c>
      <c r="V29" s="12"/>
      <c r="W29" s="12"/>
      <c r="X29" s="37"/>
      <c r="Y29" s="1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</row>
    <row r="30" spans="1:78" s="15" customFormat="1" x14ac:dyDescent="0.25">
      <c r="A30" s="6" t="s">
        <v>0</v>
      </c>
      <c r="B30" s="6" t="s">
        <v>37</v>
      </c>
      <c r="C30" s="33" t="s">
        <v>43</v>
      </c>
      <c r="D30" s="34" t="s">
        <v>39</v>
      </c>
      <c r="E30" s="16">
        <v>1.27</v>
      </c>
      <c r="F30" s="6" t="s">
        <v>4</v>
      </c>
      <c r="G30" s="34" t="s">
        <v>5</v>
      </c>
      <c r="H30" s="205" t="s">
        <v>738</v>
      </c>
      <c r="I30" s="6"/>
      <c r="J30" s="33"/>
      <c r="K30" s="5" t="s">
        <v>2069</v>
      </c>
      <c r="L30" s="5" t="s">
        <v>40</v>
      </c>
      <c r="M30" s="6"/>
      <c r="N30" s="31"/>
      <c r="O30" s="10"/>
      <c r="P30" s="11">
        <v>1.69</v>
      </c>
      <c r="Q30" s="35"/>
      <c r="R30" s="12"/>
      <c r="S30" s="36">
        <v>4.58</v>
      </c>
      <c r="T30" s="35">
        <v>2.56</v>
      </c>
      <c r="U30" s="11">
        <f t="shared" si="1"/>
        <v>10.034800000000001</v>
      </c>
      <c r="V30" s="12"/>
      <c r="W30" s="12"/>
      <c r="X30" s="37"/>
      <c r="Y30" s="1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</row>
    <row r="31" spans="1:78" s="15" customFormat="1" x14ac:dyDescent="0.25">
      <c r="A31" s="6" t="s">
        <v>0</v>
      </c>
      <c r="B31" s="6" t="s">
        <v>37</v>
      </c>
      <c r="C31" s="33" t="s">
        <v>44</v>
      </c>
      <c r="D31" s="34" t="s">
        <v>39</v>
      </c>
      <c r="E31" s="16">
        <v>1.8</v>
      </c>
      <c r="F31" s="6" t="s">
        <v>4</v>
      </c>
      <c r="G31" s="34" t="s">
        <v>5</v>
      </c>
      <c r="H31" s="205" t="s">
        <v>738</v>
      </c>
      <c r="I31" s="6"/>
      <c r="J31" s="33"/>
      <c r="K31" s="5" t="s">
        <v>2069</v>
      </c>
      <c r="L31" s="5" t="s">
        <v>40</v>
      </c>
      <c r="M31" s="6"/>
      <c r="N31" s="31"/>
      <c r="O31" s="10"/>
      <c r="P31" s="11">
        <v>1.69</v>
      </c>
      <c r="Q31" s="35"/>
      <c r="R31" s="12"/>
      <c r="S31" s="36">
        <v>5.2</v>
      </c>
      <c r="T31" s="35">
        <v>2.56</v>
      </c>
      <c r="U31" s="11">
        <f t="shared" si="1"/>
        <v>11.622000000000002</v>
      </c>
      <c r="V31" s="12"/>
      <c r="W31" s="12"/>
      <c r="X31" s="37"/>
      <c r="Y31" s="1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</row>
    <row r="32" spans="1:78" s="15" customFormat="1" x14ac:dyDescent="0.25">
      <c r="A32" s="6" t="s">
        <v>0</v>
      </c>
      <c r="B32" s="6" t="s">
        <v>37</v>
      </c>
      <c r="C32" s="33" t="s">
        <v>45</v>
      </c>
      <c r="D32" s="34" t="s">
        <v>46</v>
      </c>
      <c r="E32" s="16">
        <v>6.57</v>
      </c>
      <c r="F32" s="6" t="s">
        <v>4</v>
      </c>
      <c r="G32" s="34" t="s">
        <v>5</v>
      </c>
      <c r="H32" s="205" t="s">
        <v>738</v>
      </c>
      <c r="I32" s="6"/>
      <c r="J32" s="33"/>
      <c r="K32" s="5" t="s">
        <v>2069</v>
      </c>
      <c r="L32" s="5" t="s">
        <v>40</v>
      </c>
      <c r="M32" s="6"/>
      <c r="N32" s="31"/>
      <c r="O32" s="10"/>
      <c r="P32" s="11">
        <v>1.69</v>
      </c>
      <c r="Q32" s="35"/>
      <c r="R32" s="12"/>
      <c r="S32" s="36">
        <v>11.88</v>
      </c>
      <c r="T32" s="35">
        <v>2.57</v>
      </c>
      <c r="U32" s="11">
        <f t="shared" si="1"/>
        <v>28.8416</v>
      </c>
      <c r="V32" s="12"/>
      <c r="W32" s="12"/>
      <c r="X32" s="37"/>
      <c r="Y32" s="12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</row>
    <row r="33" spans="1:78" s="15" customFormat="1" x14ac:dyDescent="0.25">
      <c r="A33" s="6" t="s">
        <v>0</v>
      </c>
      <c r="B33" s="6" t="s">
        <v>37</v>
      </c>
      <c r="C33" s="33" t="s">
        <v>47</v>
      </c>
      <c r="D33" s="34" t="s">
        <v>48</v>
      </c>
      <c r="E33" s="16">
        <v>0.94</v>
      </c>
      <c r="F33" s="6" t="s">
        <v>4</v>
      </c>
      <c r="G33" s="34" t="s">
        <v>5</v>
      </c>
      <c r="H33" s="205" t="s">
        <v>738</v>
      </c>
      <c r="I33" s="6"/>
      <c r="J33" s="33"/>
      <c r="K33" s="5" t="s">
        <v>2069</v>
      </c>
      <c r="L33" s="5" t="s">
        <v>40</v>
      </c>
      <c r="M33" s="6"/>
      <c r="N33" s="31"/>
      <c r="O33" s="10"/>
      <c r="P33" s="11"/>
      <c r="Q33" s="35"/>
      <c r="R33" s="12"/>
      <c r="S33" s="36">
        <v>6.78</v>
      </c>
      <c r="T33" s="35">
        <v>2.56</v>
      </c>
      <c r="U33" s="16">
        <f t="shared" si="1"/>
        <v>17.3568</v>
      </c>
      <c r="V33" s="12"/>
      <c r="W33" s="12"/>
      <c r="X33" s="37"/>
      <c r="Y33" s="12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</row>
    <row r="34" spans="1:78" s="15" customFormat="1" x14ac:dyDescent="0.25">
      <c r="A34" s="6" t="s">
        <v>0</v>
      </c>
      <c r="B34" s="6" t="s">
        <v>37</v>
      </c>
      <c r="C34" s="33" t="s">
        <v>49</v>
      </c>
      <c r="D34" s="34" t="s">
        <v>50</v>
      </c>
      <c r="E34" s="16">
        <v>1.1599999999999999</v>
      </c>
      <c r="F34" s="6" t="s">
        <v>4</v>
      </c>
      <c r="G34" s="34" t="s">
        <v>5</v>
      </c>
      <c r="H34" s="205" t="s">
        <v>738</v>
      </c>
      <c r="I34" s="6"/>
      <c r="J34" s="33"/>
      <c r="K34" s="5" t="s">
        <v>2069</v>
      </c>
      <c r="L34" s="5" t="s">
        <v>40</v>
      </c>
      <c r="M34" s="6"/>
      <c r="N34" s="31"/>
      <c r="O34" s="10"/>
      <c r="P34" s="11">
        <v>1.69</v>
      </c>
      <c r="Q34" s="35"/>
      <c r="R34" s="12"/>
      <c r="S34" s="36">
        <v>4.26</v>
      </c>
      <c r="T34" s="35">
        <v>2.56</v>
      </c>
      <c r="U34" s="16">
        <f t="shared" si="1"/>
        <v>9.2156000000000002</v>
      </c>
      <c r="V34" s="12"/>
      <c r="W34" s="12"/>
      <c r="X34" s="37"/>
      <c r="Y34" s="12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</row>
    <row r="35" spans="1:78" s="15" customFormat="1" x14ac:dyDescent="0.25">
      <c r="A35" s="6" t="s">
        <v>0</v>
      </c>
      <c r="B35" s="6" t="s">
        <v>37</v>
      </c>
      <c r="C35" s="33" t="s">
        <v>51</v>
      </c>
      <c r="D35" s="34" t="s">
        <v>52</v>
      </c>
      <c r="E35" s="16">
        <v>3.13</v>
      </c>
      <c r="F35" s="6" t="s">
        <v>4</v>
      </c>
      <c r="G35" s="34" t="s">
        <v>5</v>
      </c>
      <c r="H35" s="205" t="s">
        <v>738</v>
      </c>
      <c r="I35" s="6"/>
      <c r="J35" s="33"/>
      <c r="K35" s="5" t="s">
        <v>2069</v>
      </c>
      <c r="L35" s="5" t="s">
        <v>40</v>
      </c>
      <c r="M35" s="6"/>
      <c r="N35" s="31"/>
      <c r="O35" s="10"/>
      <c r="P35" s="11">
        <v>1.69</v>
      </c>
      <c r="Q35" s="35"/>
      <c r="R35" s="12"/>
      <c r="S35" s="36">
        <v>7.1</v>
      </c>
      <c r="T35" s="35">
        <v>2.56</v>
      </c>
      <c r="U35" s="16">
        <f t="shared" si="1"/>
        <v>16.485999999999997</v>
      </c>
      <c r="V35" s="12"/>
      <c r="W35" s="12"/>
      <c r="X35" s="37"/>
      <c r="Y35" s="12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</row>
    <row r="36" spans="1:78" s="15" customFormat="1" x14ac:dyDescent="0.25">
      <c r="A36" s="6" t="s">
        <v>0</v>
      </c>
      <c r="B36" s="6" t="s">
        <v>37</v>
      </c>
      <c r="C36" s="33" t="s">
        <v>53</v>
      </c>
      <c r="D36" s="34" t="s">
        <v>3</v>
      </c>
      <c r="E36" s="16">
        <v>8.98</v>
      </c>
      <c r="F36" s="6" t="s">
        <v>4</v>
      </c>
      <c r="G36" s="34" t="s">
        <v>5</v>
      </c>
      <c r="H36" s="205" t="s">
        <v>738</v>
      </c>
      <c r="I36" s="6"/>
      <c r="J36" s="33"/>
      <c r="K36" s="5" t="s">
        <v>2069</v>
      </c>
      <c r="L36" s="5" t="s">
        <v>40</v>
      </c>
      <c r="M36" s="6"/>
      <c r="N36" s="31"/>
      <c r="O36" s="10"/>
      <c r="P36" s="11">
        <v>3.38</v>
      </c>
      <c r="Q36" s="35"/>
      <c r="R36" s="12"/>
      <c r="S36" s="36">
        <v>12.219999999999999</v>
      </c>
      <c r="T36" s="35">
        <v>2.56</v>
      </c>
      <c r="U36" s="16">
        <f t="shared" si="1"/>
        <v>27.903199999999998</v>
      </c>
      <c r="V36" s="12"/>
      <c r="W36" s="12"/>
      <c r="X36" s="13"/>
      <c r="Y36" s="12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</row>
    <row r="37" spans="1:78" s="15" customFormat="1" x14ac:dyDescent="0.25">
      <c r="A37" s="6" t="s">
        <v>0</v>
      </c>
      <c r="B37" s="6" t="s">
        <v>37</v>
      </c>
      <c r="C37" s="33" t="s">
        <v>54</v>
      </c>
      <c r="D37" s="34" t="s">
        <v>55</v>
      </c>
      <c r="E37" s="16">
        <v>53.68</v>
      </c>
      <c r="F37" s="6" t="s">
        <v>4</v>
      </c>
      <c r="G37" s="34" t="s">
        <v>5</v>
      </c>
      <c r="H37" s="205" t="s">
        <v>738</v>
      </c>
      <c r="I37" s="6"/>
      <c r="J37" s="33"/>
      <c r="K37" s="5" t="s">
        <v>2069</v>
      </c>
      <c r="L37" s="5" t="s">
        <v>40</v>
      </c>
      <c r="M37" s="6"/>
      <c r="N37" s="31"/>
      <c r="O37" s="10"/>
      <c r="P37" s="11">
        <v>2.71</v>
      </c>
      <c r="Q37" s="35">
        <v>7.56</v>
      </c>
      <c r="R37" s="12">
        <v>0.9</v>
      </c>
      <c r="S37" s="36">
        <v>46.78</v>
      </c>
      <c r="T37" s="35">
        <v>2.71</v>
      </c>
      <c r="U37" s="16">
        <f t="shared" si="1"/>
        <v>116.50380000000001</v>
      </c>
      <c r="V37" s="12"/>
      <c r="W37" s="12"/>
      <c r="X37" s="13"/>
      <c r="Y37" s="12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</row>
    <row r="38" spans="1:78" s="15" customFormat="1" ht="30" x14ac:dyDescent="0.25">
      <c r="A38" s="6" t="s">
        <v>0</v>
      </c>
      <c r="B38" s="6" t="s">
        <v>37</v>
      </c>
      <c r="C38" s="33" t="s">
        <v>56</v>
      </c>
      <c r="D38" s="34" t="s">
        <v>57</v>
      </c>
      <c r="E38" s="16">
        <v>0.88</v>
      </c>
      <c r="F38" s="6" t="s">
        <v>4</v>
      </c>
      <c r="G38" s="34" t="s">
        <v>5</v>
      </c>
      <c r="H38" s="134" t="s">
        <v>738</v>
      </c>
      <c r="I38" s="6"/>
      <c r="J38" s="33"/>
      <c r="K38" s="21" t="s">
        <v>2068</v>
      </c>
      <c r="L38" s="5" t="s">
        <v>40</v>
      </c>
      <c r="M38" s="6"/>
      <c r="N38" s="31"/>
      <c r="O38" s="10"/>
      <c r="P38" s="11">
        <v>1.56</v>
      </c>
      <c r="Q38" s="35"/>
      <c r="R38" s="12"/>
      <c r="S38" s="36">
        <v>3.76</v>
      </c>
      <c r="T38" s="35">
        <v>2.15</v>
      </c>
      <c r="U38" s="16">
        <f t="shared" si="1"/>
        <v>6.5239999999999991</v>
      </c>
      <c r="V38" s="12"/>
      <c r="W38" s="12"/>
      <c r="X38" s="13"/>
      <c r="Y38" s="12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</row>
    <row r="39" spans="1:78" s="15" customFormat="1" ht="30" x14ac:dyDescent="0.25">
      <c r="A39" s="6" t="s">
        <v>0</v>
      </c>
      <c r="B39" s="6" t="s">
        <v>37</v>
      </c>
      <c r="C39" s="33" t="s">
        <v>58</v>
      </c>
      <c r="D39" s="34" t="s">
        <v>59</v>
      </c>
      <c r="E39" s="16">
        <v>7.9</v>
      </c>
      <c r="F39" s="6" t="s">
        <v>4</v>
      </c>
      <c r="G39" s="34" t="s">
        <v>5</v>
      </c>
      <c r="H39" s="134" t="s">
        <v>738</v>
      </c>
      <c r="I39" s="6"/>
      <c r="J39" s="33"/>
      <c r="K39" s="21" t="s">
        <v>2068</v>
      </c>
      <c r="L39" s="5" t="s">
        <v>40</v>
      </c>
      <c r="M39" s="6"/>
      <c r="N39" s="31"/>
      <c r="O39" s="10"/>
      <c r="P39" s="11"/>
      <c r="Q39" s="35"/>
      <c r="R39" s="12"/>
      <c r="S39" s="36">
        <v>11.3</v>
      </c>
      <c r="T39" s="35">
        <v>3.2</v>
      </c>
      <c r="U39" s="16">
        <f t="shared" si="1"/>
        <v>36.160000000000004</v>
      </c>
      <c r="V39" s="12"/>
      <c r="W39" s="12"/>
      <c r="X39" s="13"/>
      <c r="Y39" s="12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</row>
    <row r="40" spans="1:78" s="15" customFormat="1" ht="30" x14ac:dyDescent="0.25">
      <c r="A40" s="6" t="s">
        <v>0</v>
      </c>
      <c r="B40" s="6" t="s">
        <v>37</v>
      </c>
      <c r="C40" s="33" t="s">
        <v>60</v>
      </c>
      <c r="D40" s="34" t="s">
        <v>59</v>
      </c>
      <c r="E40" s="16">
        <v>17.5</v>
      </c>
      <c r="F40" s="6" t="s">
        <v>4</v>
      </c>
      <c r="G40" s="34" t="s">
        <v>5</v>
      </c>
      <c r="H40" s="134" t="s">
        <v>738</v>
      </c>
      <c r="I40" s="6"/>
      <c r="J40" s="33"/>
      <c r="K40" s="21" t="s">
        <v>2068</v>
      </c>
      <c r="L40" s="5" t="s">
        <v>40</v>
      </c>
      <c r="M40" s="6"/>
      <c r="N40" s="31"/>
      <c r="O40" s="10"/>
      <c r="P40" s="11"/>
      <c r="Q40" s="35">
        <v>1.92</v>
      </c>
      <c r="R40" s="12">
        <v>0.56999999999999995</v>
      </c>
      <c r="S40" s="38">
        <v>17.060000000000002</v>
      </c>
      <c r="T40" s="35">
        <v>3.21</v>
      </c>
      <c r="U40" s="16">
        <f t="shared" si="1"/>
        <v>52.842600000000004</v>
      </c>
      <c r="V40" s="12"/>
      <c r="W40" s="12"/>
      <c r="X40" s="13"/>
      <c r="Y40" s="12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</row>
    <row r="41" spans="1:78" s="15" customFormat="1" ht="30" x14ac:dyDescent="0.25">
      <c r="A41" s="6" t="s">
        <v>0</v>
      </c>
      <c r="B41" s="6" t="s">
        <v>37</v>
      </c>
      <c r="C41" s="33" t="s">
        <v>61</v>
      </c>
      <c r="D41" s="34" t="s">
        <v>62</v>
      </c>
      <c r="E41" s="16">
        <v>2.78</v>
      </c>
      <c r="F41" s="6" t="s">
        <v>4</v>
      </c>
      <c r="G41" s="34" t="s">
        <v>5</v>
      </c>
      <c r="H41" s="134" t="s">
        <v>738</v>
      </c>
      <c r="I41" s="6"/>
      <c r="J41" s="33"/>
      <c r="K41" s="21" t="s">
        <v>2068</v>
      </c>
      <c r="L41" s="5" t="s">
        <v>40</v>
      </c>
      <c r="M41" s="6"/>
      <c r="N41" s="31"/>
      <c r="O41" s="10"/>
      <c r="P41" s="11"/>
      <c r="Q41" s="35"/>
      <c r="R41" s="12"/>
      <c r="S41" s="38">
        <v>6.76</v>
      </c>
      <c r="T41" s="35">
        <v>2.69</v>
      </c>
      <c r="U41" s="16">
        <f t="shared" si="1"/>
        <v>18.1844</v>
      </c>
      <c r="V41" s="12"/>
      <c r="W41" s="12"/>
      <c r="X41" s="37"/>
      <c r="Y41" s="12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</row>
    <row r="42" spans="1:78" s="15" customFormat="1" ht="30" x14ac:dyDescent="0.25">
      <c r="A42" s="6" t="s">
        <v>0</v>
      </c>
      <c r="B42" s="6" t="s">
        <v>37</v>
      </c>
      <c r="C42" s="33" t="s">
        <v>63</v>
      </c>
      <c r="D42" s="34" t="s">
        <v>3</v>
      </c>
      <c r="E42" s="16">
        <v>1.59</v>
      </c>
      <c r="F42" s="6" t="s">
        <v>4</v>
      </c>
      <c r="G42" s="34" t="s">
        <v>5</v>
      </c>
      <c r="H42" s="134" t="s">
        <v>738</v>
      </c>
      <c r="I42" s="6"/>
      <c r="J42" s="33"/>
      <c r="K42" s="21" t="s">
        <v>2068</v>
      </c>
      <c r="L42" s="5" t="s">
        <v>40</v>
      </c>
      <c r="M42" s="6"/>
      <c r="N42" s="31"/>
      <c r="O42" s="10"/>
      <c r="P42" s="11">
        <v>1.44</v>
      </c>
      <c r="Q42" s="35"/>
      <c r="R42" s="12"/>
      <c r="S42" s="36">
        <v>5.18</v>
      </c>
      <c r="T42" s="35">
        <v>2.69</v>
      </c>
      <c r="U42" s="11">
        <f t="shared" si="1"/>
        <v>12.494199999999999</v>
      </c>
      <c r="V42" s="12"/>
      <c r="W42" s="12"/>
      <c r="X42" s="37"/>
      <c r="Y42" s="12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</row>
    <row r="43" spans="1:78" s="15" customFormat="1" ht="30" x14ac:dyDescent="0.25">
      <c r="A43" s="8" t="s">
        <v>0</v>
      </c>
      <c r="B43" s="8" t="s">
        <v>37</v>
      </c>
      <c r="C43" s="111" t="s">
        <v>64</v>
      </c>
      <c r="D43" s="67" t="s">
        <v>65</v>
      </c>
      <c r="E43" s="71">
        <v>1.42</v>
      </c>
      <c r="F43" s="8" t="s">
        <v>4</v>
      </c>
      <c r="G43" s="67" t="s">
        <v>5</v>
      </c>
      <c r="H43" s="134" t="s">
        <v>738</v>
      </c>
      <c r="I43" s="8"/>
      <c r="J43" s="111"/>
      <c r="K43" s="21" t="s">
        <v>2068</v>
      </c>
      <c r="L43" s="62" t="s">
        <v>40</v>
      </c>
      <c r="M43" s="8"/>
      <c r="N43" s="9"/>
      <c r="O43" s="109"/>
      <c r="P43" s="110">
        <v>1.44</v>
      </c>
      <c r="Q43" s="72"/>
      <c r="R43" s="56"/>
      <c r="S43" s="112">
        <v>4.96</v>
      </c>
      <c r="T43" s="72">
        <v>2.69</v>
      </c>
      <c r="U43" s="110">
        <f t="shared" si="1"/>
        <v>11.9024</v>
      </c>
      <c r="V43" s="56"/>
      <c r="W43" s="56"/>
      <c r="X43" s="58"/>
      <c r="Y43" s="56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</row>
    <row r="44" spans="1:78" s="15" customFormat="1" ht="30" x14ac:dyDescent="0.25">
      <c r="A44" s="6" t="s">
        <v>0</v>
      </c>
      <c r="B44" s="6" t="s">
        <v>37</v>
      </c>
      <c r="C44" s="33" t="s">
        <v>67</v>
      </c>
      <c r="D44" s="34" t="s">
        <v>68</v>
      </c>
      <c r="E44" s="16">
        <v>42.92</v>
      </c>
      <c r="F44" s="6" t="s">
        <v>4</v>
      </c>
      <c r="G44" s="34" t="s">
        <v>5</v>
      </c>
      <c r="H44" s="134" t="s">
        <v>738</v>
      </c>
      <c r="I44" s="6"/>
      <c r="J44" s="33"/>
      <c r="K44" s="21" t="s">
        <v>2068</v>
      </c>
      <c r="L44" s="5" t="s">
        <v>40</v>
      </c>
      <c r="M44" s="6"/>
      <c r="N44" s="31"/>
      <c r="O44" s="306"/>
      <c r="P44" s="16">
        <v>1.54</v>
      </c>
      <c r="Q44" s="35">
        <v>5.85</v>
      </c>
      <c r="R44" s="12">
        <v>0.56999999999999995</v>
      </c>
      <c r="S44" s="36">
        <v>26.4</v>
      </c>
      <c r="T44" s="35">
        <v>3.22</v>
      </c>
      <c r="U44" s="16">
        <f t="shared" si="1"/>
        <v>77.617999999999995</v>
      </c>
      <c r="V44" s="12"/>
      <c r="W44" s="12"/>
      <c r="X44" s="13"/>
      <c r="Y44" s="12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</row>
    <row r="45" spans="1:78" s="15" customFormat="1" ht="30" x14ac:dyDescent="0.25">
      <c r="A45" s="6" t="s">
        <v>0</v>
      </c>
      <c r="B45" s="6" t="s">
        <v>37</v>
      </c>
      <c r="C45" s="33" t="s">
        <v>69</v>
      </c>
      <c r="D45" s="34" t="s">
        <v>70</v>
      </c>
      <c r="E45" s="16">
        <v>6.83</v>
      </c>
      <c r="F45" s="6" t="s">
        <v>4</v>
      </c>
      <c r="G45" s="34" t="s">
        <v>5</v>
      </c>
      <c r="H45" s="134" t="s">
        <v>738</v>
      </c>
      <c r="I45" s="6"/>
      <c r="J45" s="33"/>
      <c r="K45" s="21" t="s">
        <v>2068</v>
      </c>
      <c r="L45" s="5" t="s">
        <v>40</v>
      </c>
      <c r="M45" s="6"/>
      <c r="N45" s="31"/>
      <c r="O45" s="306"/>
      <c r="P45" s="16">
        <v>1.42</v>
      </c>
      <c r="Q45" s="35"/>
      <c r="R45" s="12"/>
      <c r="S45" s="36">
        <v>10.119999999999999</v>
      </c>
      <c r="T45" s="35">
        <v>2.68</v>
      </c>
      <c r="U45" s="16">
        <f t="shared" si="1"/>
        <v>25.701599999999999</v>
      </c>
      <c r="V45" s="12"/>
      <c r="W45" s="12"/>
      <c r="X45" s="37"/>
      <c r="Y45" s="12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</row>
    <row r="46" spans="1:78" s="15" customFormat="1" ht="30" x14ac:dyDescent="0.25">
      <c r="A46" s="6" t="s">
        <v>0</v>
      </c>
      <c r="B46" s="6" t="s">
        <v>37</v>
      </c>
      <c r="C46" s="33" t="s">
        <v>71</v>
      </c>
      <c r="D46" s="34" t="s">
        <v>65</v>
      </c>
      <c r="E46" s="16">
        <v>1.08</v>
      </c>
      <c r="F46" s="6" t="s">
        <v>4</v>
      </c>
      <c r="G46" s="34" t="s">
        <v>5</v>
      </c>
      <c r="H46" s="134" t="s">
        <v>738</v>
      </c>
      <c r="I46" s="6"/>
      <c r="J46" s="33"/>
      <c r="K46" s="21" t="s">
        <v>2068</v>
      </c>
      <c r="L46" s="5" t="s">
        <v>40</v>
      </c>
      <c r="M46" s="6"/>
      <c r="N46" s="31"/>
      <c r="O46" s="306"/>
      <c r="P46" s="16">
        <v>1.42</v>
      </c>
      <c r="Q46" s="35"/>
      <c r="R46" s="12"/>
      <c r="S46" s="36">
        <v>4.2</v>
      </c>
      <c r="T46" s="35">
        <v>2.68</v>
      </c>
      <c r="U46" s="16">
        <f t="shared" si="1"/>
        <v>9.8360000000000021</v>
      </c>
      <c r="V46" s="12"/>
      <c r="W46" s="12"/>
      <c r="X46" s="37"/>
      <c r="Y46" s="12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</row>
    <row r="47" spans="1:78" s="15" customFormat="1" ht="30" x14ac:dyDescent="0.25">
      <c r="A47" s="6" t="s">
        <v>0</v>
      </c>
      <c r="B47" s="6" t="s">
        <v>37</v>
      </c>
      <c r="C47" s="33" t="s">
        <v>72</v>
      </c>
      <c r="D47" s="34" t="s">
        <v>65</v>
      </c>
      <c r="E47" s="16">
        <v>1.08</v>
      </c>
      <c r="F47" s="6" t="s">
        <v>4</v>
      </c>
      <c r="G47" s="34" t="s">
        <v>5</v>
      </c>
      <c r="H47" s="134" t="s">
        <v>738</v>
      </c>
      <c r="I47" s="6"/>
      <c r="J47" s="33"/>
      <c r="K47" s="21" t="s">
        <v>2068</v>
      </c>
      <c r="L47" s="5" t="s">
        <v>40</v>
      </c>
      <c r="M47" s="6"/>
      <c r="N47" s="31"/>
      <c r="O47" s="306"/>
      <c r="P47" s="16">
        <v>1.42</v>
      </c>
      <c r="Q47" s="35"/>
      <c r="R47" s="12"/>
      <c r="S47" s="36">
        <v>4.2</v>
      </c>
      <c r="T47" s="35">
        <v>2.68</v>
      </c>
      <c r="U47" s="16">
        <f t="shared" si="1"/>
        <v>9.8360000000000021</v>
      </c>
      <c r="V47" s="12"/>
      <c r="W47" s="12"/>
      <c r="X47" s="37"/>
      <c r="Y47" s="12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</row>
    <row r="48" spans="1:78" s="15" customFormat="1" ht="30" x14ac:dyDescent="0.25">
      <c r="A48" s="6" t="s">
        <v>0</v>
      </c>
      <c r="B48" s="6" t="s">
        <v>37</v>
      </c>
      <c r="C48" s="33" t="s">
        <v>73</v>
      </c>
      <c r="D48" s="34" t="s">
        <v>62</v>
      </c>
      <c r="E48" s="16">
        <v>2.08</v>
      </c>
      <c r="F48" s="6" t="s">
        <v>4</v>
      </c>
      <c r="G48" s="5" t="s">
        <v>5</v>
      </c>
      <c r="H48" s="134" t="s">
        <v>738</v>
      </c>
      <c r="I48" s="6"/>
      <c r="J48" s="33"/>
      <c r="K48" s="21" t="s">
        <v>2068</v>
      </c>
      <c r="L48" s="5" t="s">
        <v>40</v>
      </c>
      <c r="M48" s="6"/>
      <c r="N48" s="31"/>
      <c r="O48" s="306"/>
      <c r="P48" s="16">
        <v>1.42</v>
      </c>
      <c r="Q48" s="35"/>
      <c r="R48" s="12"/>
      <c r="S48" s="36">
        <v>5.4399999999999995</v>
      </c>
      <c r="T48" s="12">
        <v>2.68</v>
      </c>
      <c r="U48" s="16">
        <f t="shared" si="1"/>
        <v>13.1592</v>
      </c>
      <c r="V48" s="12"/>
      <c r="W48" s="12"/>
      <c r="X48" s="37"/>
      <c r="Y48" s="12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</row>
    <row r="49" spans="1:78" s="48" customFormat="1" x14ac:dyDescent="0.25">
      <c r="A49" s="6" t="s">
        <v>0</v>
      </c>
      <c r="B49" s="6" t="s">
        <v>37</v>
      </c>
      <c r="C49" s="40" t="s">
        <v>86</v>
      </c>
      <c r="D49" s="50" t="s">
        <v>87</v>
      </c>
      <c r="E49" s="51">
        <v>24</v>
      </c>
      <c r="F49" s="7" t="s">
        <v>4</v>
      </c>
      <c r="G49" s="52" t="s">
        <v>77</v>
      </c>
      <c r="H49" s="133" t="s">
        <v>738</v>
      </c>
      <c r="I49" s="7"/>
      <c r="J49" s="22"/>
      <c r="K49" s="53" t="s">
        <v>2070</v>
      </c>
      <c r="L49" s="53" t="s">
        <v>40</v>
      </c>
      <c r="M49" s="7"/>
      <c r="N49" s="54"/>
      <c r="O49" s="307"/>
      <c r="P49" s="38"/>
      <c r="Q49" s="32">
        <v>2.38</v>
      </c>
      <c r="R49" s="55"/>
      <c r="S49" s="37"/>
      <c r="T49" s="32">
        <v>3.7</v>
      </c>
      <c r="U49" s="38">
        <f t="shared" ref="U49:U65" si="2">S49*T49-P49-Q49-X49-Y49</f>
        <v>-2.38</v>
      </c>
      <c r="V49" s="12"/>
      <c r="W49" s="12"/>
      <c r="X49" s="13"/>
      <c r="Y49" s="1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</row>
    <row r="50" spans="1:78" s="48" customFormat="1" ht="30" x14ac:dyDescent="0.25">
      <c r="A50" s="6" t="s">
        <v>0</v>
      </c>
      <c r="B50" s="6" t="s">
        <v>37</v>
      </c>
      <c r="C50" s="40" t="s">
        <v>88</v>
      </c>
      <c r="D50" s="41" t="s">
        <v>89</v>
      </c>
      <c r="E50" s="11">
        <v>54.44</v>
      </c>
      <c r="F50" s="6" t="s">
        <v>4</v>
      </c>
      <c r="G50" s="41" t="s">
        <v>77</v>
      </c>
      <c r="H50" s="133" t="s">
        <v>738</v>
      </c>
      <c r="I50" s="6"/>
      <c r="J50" s="40"/>
      <c r="K50" s="53" t="s">
        <v>2070</v>
      </c>
      <c r="L50" s="5" t="s">
        <v>40</v>
      </c>
      <c r="M50" s="6"/>
      <c r="N50" s="31"/>
      <c r="O50" s="308"/>
      <c r="P50" s="16"/>
      <c r="Q50" s="35">
        <v>7.86</v>
      </c>
      <c r="R50" s="12">
        <v>0.9</v>
      </c>
      <c r="S50" s="36">
        <v>47.22</v>
      </c>
      <c r="T50" s="35">
        <v>2.76</v>
      </c>
      <c r="U50" s="16">
        <f t="shared" si="2"/>
        <v>122.46719999999998</v>
      </c>
      <c r="V50" s="12"/>
      <c r="W50" s="12"/>
      <c r="X50" s="13"/>
      <c r="Y50" s="1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</row>
    <row r="51" spans="1:78" s="48" customFormat="1" x14ac:dyDescent="0.25">
      <c r="A51" s="6" t="s">
        <v>0</v>
      </c>
      <c r="B51" s="6" t="s">
        <v>37</v>
      </c>
      <c r="C51" s="40" t="s">
        <v>90</v>
      </c>
      <c r="D51" s="41" t="s">
        <v>91</v>
      </c>
      <c r="E51" s="11">
        <v>34.9</v>
      </c>
      <c r="F51" s="6" t="s">
        <v>4</v>
      </c>
      <c r="G51" s="41" t="s">
        <v>77</v>
      </c>
      <c r="H51" s="133" t="s">
        <v>738</v>
      </c>
      <c r="I51" s="6"/>
      <c r="J51" s="40"/>
      <c r="K51" s="53" t="s">
        <v>2070</v>
      </c>
      <c r="L51" s="5" t="s">
        <v>66</v>
      </c>
      <c r="M51" s="6"/>
      <c r="N51" s="31"/>
      <c r="O51" s="308"/>
      <c r="P51" s="16">
        <v>1.88</v>
      </c>
      <c r="Q51" s="35">
        <v>4.05</v>
      </c>
      <c r="R51" s="12">
        <v>0.56999999999999995</v>
      </c>
      <c r="S51" s="36">
        <v>23.68</v>
      </c>
      <c r="T51" s="35">
        <v>3.21</v>
      </c>
      <c r="U51" s="16">
        <f t="shared" si="2"/>
        <v>70.082800000000006</v>
      </c>
      <c r="V51" s="12"/>
      <c r="W51" s="12"/>
      <c r="X51" s="13"/>
      <c r="Y51" s="1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</row>
    <row r="52" spans="1:78" s="48" customFormat="1" x14ac:dyDescent="0.25">
      <c r="A52" s="6" t="s">
        <v>0</v>
      </c>
      <c r="B52" s="6" t="s">
        <v>37</v>
      </c>
      <c r="C52" s="40" t="s">
        <v>92</v>
      </c>
      <c r="D52" s="41" t="s">
        <v>93</v>
      </c>
      <c r="E52" s="11">
        <v>41.12</v>
      </c>
      <c r="F52" s="6" t="s">
        <v>4</v>
      </c>
      <c r="G52" s="41" t="s">
        <v>77</v>
      </c>
      <c r="H52" s="133" t="s">
        <v>738</v>
      </c>
      <c r="I52" s="6"/>
      <c r="J52" s="40"/>
      <c r="K52" s="53" t="s">
        <v>2070</v>
      </c>
      <c r="L52" s="5" t="s">
        <v>66</v>
      </c>
      <c r="M52" s="6"/>
      <c r="N52" s="31"/>
      <c r="O52" s="308"/>
      <c r="P52" s="16">
        <v>1.88</v>
      </c>
      <c r="Q52" s="35">
        <v>4.05</v>
      </c>
      <c r="R52" s="12">
        <v>0.56999999999999995</v>
      </c>
      <c r="S52" s="36">
        <v>25.28</v>
      </c>
      <c r="T52" s="35">
        <v>3.25</v>
      </c>
      <c r="U52" s="16">
        <f t="shared" si="2"/>
        <v>76.23</v>
      </c>
      <c r="V52" s="12"/>
      <c r="W52" s="12"/>
      <c r="X52" s="13"/>
      <c r="Y52" s="1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</row>
    <row r="53" spans="1:78" s="48" customFormat="1" x14ac:dyDescent="0.25">
      <c r="A53" s="6" t="s">
        <v>0</v>
      </c>
      <c r="B53" s="6" t="s">
        <v>37</v>
      </c>
      <c r="C53" s="40" t="s">
        <v>94</v>
      </c>
      <c r="D53" s="41" t="s">
        <v>95</v>
      </c>
      <c r="E53" s="11">
        <v>5.9</v>
      </c>
      <c r="F53" s="6" t="s">
        <v>4</v>
      </c>
      <c r="G53" s="41" t="s">
        <v>77</v>
      </c>
      <c r="H53" s="133" t="s">
        <v>738</v>
      </c>
      <c r="I53" s="6"/>
      <c r="J53" s="40"/>
      <c r="K53" s="53" t="s">
        <v>2070</v>
      </c>
      <c r="L53" s="5" t="s">
        <v>66</v>
      </c>
      <c r="M53" s="6"/>
      <c r="N53" s="31"/>
      <c r="O53" s="308"/>
      <c r="P53" s="16">
        <v>1.56</v>
      </c>
      <c r="Q53" s="35">
        <v>2.02</v>
      </c>
      <c r="R53" s="12">
        <v>0.56999999999999995</v>
      </c>
      <c r="S53" s="36">
        <v>9.82</v>
      </c>
      <c r="T53" s="35">
        <v>3.25</v>
      </c>
      <c r="U53" s="16">
        <f t="shared" si="2"/>
        <v>28.335000000000001</v>
      </c>
      <c r="V53" s="12"/>
      <c r="W53" s="12"/>
      <c r="X53" s="37"/>
      <c r="Y53" s="1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</row>
    <row r="54" spans="1:78" s="48" customFormat="1" x14ac:dyDescent="0.25">
      <c r="A54" s="6" t="s">
        <v>0</v>
      </c>
      <c r="B54" s="6" t="s">
        <v>37</v>
      </c>
      <c r="C54" s="40" t="s">
        <v>96</v>
      </c>
      <c r="D54" s="41" t="s">
        <v>97</v>
      </c>
      <c r="E54" s="11">
        <v>11.03</v>
      </c>
      <c r="F54" s="6" t="s">
        <v>4</v>
      </c>
      <c r="G54" s="41" t="s">
        <v>77</v>
      </c>
      <c r="H54" s="133" t="s">
        <v>738</v>
      </c>
      <c r="I54" s="6"/>
      <c r="J54" s="40"/>
      <c r="K54" s="53" t="s">
        <v>2070</v>
      </c>
      <c r="L54" s="5" t="s">
        <v>40</v>
      </c>
      <c r="M54" s="6"/>
      <c r="N54" s="31"/>
      <c r="O54" s="308"/>
      <c r="P54" s="16">
        <v>11.32</v>
      </c>
      <c r="Q54" s="35"/>
      <c r="R54" s="12"/>
      <c r="S54" s="36">
        <v>15.22</v>
      </c>
      <c r="T54" s="35">
        <v>3.25</v>
      </c>
      <c r="U54" s="16">
        <f t="shared" si="2"/>
        <v>38.145000000000003</v>
      </c>
      <c r="V54" s="12"/>
      <c r="W54" s="12"/>
      <c r="X54" s="37"/>
      <c r="Y54" s="1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</row>
    <row r="55" spans="1:78" s="15" customFormat="1" x14ac:dyDescent="0.25">
      <c r="A55" s="2" t="s">
        <v>0</v>
      </c>
      <c r="B55" s="2" t="s">
        <v>74</v>
      </c>
      <c r="C55" s="59" t="s">
        <v>102</v>
      </c>
      <c r="D55" s="60" t="s">
        <v>55</v>
      </c>
      <c r="E55" s="61">
        <v>13.725</v>
      </c>
      <c r="F55" s="1" t="s">
        <v>4</v>
      </c>
      <c r="G55" s="41" t="s">
        <v>77</v>
      </c>
      <c r="H55" s="134" t="s">
        <v>738</v>
      </c>
      <c r="I55" s="8"/>
      <c r="J55" s="6"/>
      <c r="K55" s="53" t="s">
        <v>2070</v>
      </c>
      <c r="L55" s="41" t="s">
        <v>66</v>
      </c>
      <c r="M55" s="6" t="s">
        <v>7</v>
      </c>
      <c r="N55" s="31">
        <v>2650</v>
      </c>
      <c r="O55" s="308">
        <v>2600</v>
      </c>
      <c r="P55" s="16">
        <f t="shared" ref="P55:P56" si="3">N55*O55*0.000001</f>
        <v>6.89</v>
      </c>
      <c r="Q55" s="35">
        <v>6.72</v>
      </c>
      <c r="R55" s="12">
        <v>1.1200000000000001</v>
      </c>
      <c r="S55" s="13">
        <v>19.7</v>
      </c>
      <c r="T55" s="35">
        <v>2.6</v>
      </c>
      <c r="U55" s="16">
        <f t="shared" si="2"/>
        <v>37.61</v>
      </c>
      <c r="V55" s="12"/>
      <c r="W55" s="12"/>
      <c r="X55" s="37"/>
      <c r="Y55" s="12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</row>
    <row r="56" spans="1:78" s="15" customFormat="1" ht="30" x14ac:dyDescent="0.25">
      <c r="A56" s="2" t="s">
        <v>0</v>
      </c>
      <c r="B56" s="2" t="s">
        <v>74</v>
      </c>
      <c r="C56" s="59" t="s">
        <v>104</v>
      </c>
      <c r="D56" s="60" t="s">
        <v>105</v>
      </c>
      <c r="E56" s="61">
        <v>5.46</v>
      </c>
      <c r="F56" s="1" t="s">
        <v>4</v>
      </c>
      <c r="G56" s="41" t="s">
        <v>77</v>
      </c>
      <c r="H56" s="134" t="s">
        <v>738</v>
      </c>
      <c r="I56" s="8"/>
      <c r="J56" s="8"/>
      <c r="K56" s="21" t="s">
        <v>2068</v>
      </c>
      <c r="L56" s="41" t="s">
        <v>40</v>
      </c>
      <c r="M56" s="6" t="s">
        <v>7</v>
      </c>
      <c r="N56" s="31">
        <v>3150</v>
      </c>
      <c r="O56" s="308">
        <v>2100</v>
      </c>
      <c r="P56" s="16">
        <f t="shared" si="3"/>
        <v>6.6149999999999993</v>
      </c>
      <c r="Q56" s="35"/>
      <c r="R56" s="12"/>
      <c r="S56" s="13">
        <v>9.4</v>
      </c>
      <c r="T56" s="35">
        <v>2.7</v>
      </c>
      <c r="U56" s="16">
        <f t="shared" si="2"/>
        <v>18.765000000000004</v>
      </c>
      <c r="V56" s="12"/>
      <c r="W56" s="12"/>
      <c r="X56" s="37"/>
      <c r="Y56" s="12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</row>
    <row r="57" spans="1:78" s="15" customFormat="1" ht="30" x14ac:dyDescent="0.25">
      <c r="A57" s="2" t="s">
        <v>0</v>
      </c>
      <c r="B57" s="2" t="s">
        <v>74</v>
      </c>
      <c r="C57" s="59" t="s">
        <v>106</v>
      </c>
      <c r="D57" s="60" t="s">
        <v>107</v>
      </c>
      <c r="E57" s="61">
        <v>34.950000000000003</v>
      </c>
      <c r="F57" s="1" t="s">
        <v>4</v>
      </c>
      <c r="G57" s="41" t="s">
        <v>77</v>
      </c>
      <c r="H57" s="134" t="s">
        <v>738</v>
      </c>
      <c r="I57" s="8"/>
      <c r="J57" s="8"/>
      <c r="K57" s="21" t="s">
        <v>2068</v>
      </c>
      <c r="L57" s="41" t="s">
        <v>40</v>
      </c>
      <c r="M57" s="6"/>
      <c r="N57" s="31"/>
      <c r="O57" s="308"/>
      <c r="P57" s="16">
        <v>1.69</v>
      </c>
      <c r="Q57" s="35">
        <v>4.8899999999999997</v>
      </c>
      <c r="R57" s="12">
        <v>0.56999999999999995</v>
      </c>
      <c r="S57" s="13">
        <v>23</v>
      </c>
      <c r="T57" s="35">
        <v>3.2</v>
      </c>
      <c r="U57" s="16">
        <f t="shared" si="2"/>
        <v>67.02000000000001</v>
      </c>
      <c r="V57" s="12"/>
      <c r="W57" s="12"/>
      <c r="X57" s="37"/>
      <c r="Y57" s="12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</row>
    <row r="58" spans="1:78" s="15" customFormat="1" ht="30" x14ac:dyDescent="0.25">
      <c r="A58" s="2" t="s">
        <v>0</v>
      </c>
      <c r="B58" s="2" t="s">
        <v>74</v>
      </c>
      <c r="C58" s="59" t="s">
        <v>108</v>
      </c>
      <c r="D58" s="60" t="s">
        <v>65</v>
      </c>
      <c r="E58" s="61">
        <v>1.05</v>
      </c>
      <c r="F58" s="1" t="s">
        <v>4</v>
      </c>
      <c r="G58" s="41" t="s">
        <v>77</v>
      </c>
      <c r="H58" s="134" t="s">
        <v>738</v>
      </c>
      <c r="I58" s="8"/>
      <c r="J58" s="8"/>
      <c r="K58" s="21" t="s">
        <v>2068</v>
      </c>
      <c r="L58" s="41" t="s">
        <v>40</v>
      </c>
      <c r="M58" s="6" t="s">
        <v>7</v>
      </c>
      <c r="N58" s="31">
        <v>750</v>
      </c>
      <c r="O58" s="308">
        <v>2100</v>
      </c>
      <c r="P58" s="16">
        <f t="shared" ref="P58:P60" si="4">N58*O58*0.000001</f>
        <v>1.575</v>
      </c>
      <c r="Q58" s="35"/>
      <c r="R58" s="12"/>
      <c r="S58" s="13">
        <v>4.0999999999999996</v>
      </c>
      <c r="T58" s="35">
        <v>2.59</v>
      </c>
      <c r="U58" s="16">
        <f t="shared" si="2"/>
        <v>9.0439999999999987</v>
      </c>
      <c r="V58" s="12"/>
      <c r="W58" s="12"/>
      <c r="X58" s="37"/>
      <c r="Y58" s="12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</row>
    <row r="59" spans="1:78" s="15" customFormat="1" ht="30" x14ac:dyDescent="0.25">
      <c r="A59" s="2" t="s">
        <v>0</v>
      </c>
      <c r="B59" s="2" t="s">
        <v>74</v>
      </c>
      <c r="C59" s="59" t="s">
        <v>109</v>
      </c>
      <c r="D59" s="60" t="s">
        <v>65</v>
      </c>
      <c r="E59" s="61">
        <v>1.05</v>
      </c>
      <c r="F59" s="1" t="s">
        <v>4</v>
      </c>
      <c r="G59" s="41" t="s">
        <v>77</v>
      </c>
      <c r="H59" s="134" t="s">
        <v>738</v>
      </c>
      <c r="I59" s="8"/>
      <c r="J59" s="8"/>
      <c r="K59" s="21" t="s">
        <v>2068</v>
      </c>
      <c r="L59" s="41" t="s">
        <v>40</v>
      </c>
      <c r="M59" s="6" t="s">
        <v>7</v>
      </c>
      <c r="N59" s="31">
        <v>750</v>
      </c>
      <c r="O59" s="308">
        <v>2100</v>
      </c>
      <c r="P59" s="16">
        <f t="shared" si="4"/>
        <v>1.575</v>
      </c>
      <c r="Q59" s="35"/>
      <c r="R59" s="12"/>
      <c r="S59" s="13">
        <v>4.0999999999999996</v>
      </c>
      <c r="T59" s="35">
        <v>2.59</v>
      </c>
      <c r="U59" s="16">
        <f t="shared" si="2"/>
        <v>9.0439999999999987</v>
      </c>
      <c r="V59" s="12"/>
      <c r="W59" s="12"/>
      <c r="X59" s="37"/>
      <c r="Y59" s="12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</row>
    <row r="60" spans="1:78" s="15" customFormat="1" ht="30" x14ac:dyDescent="0.25">
      <c r="A60" s="2" t="s">
        <v>0</v>
      </c>
      <c r="B60" s="2" t="s">
        <v>74</v>
      </c>
      <c r="C60" s="68" t="s">
        <v>110</v>
      </c>
      <c r="D60" s="69" t="s">
        <v>62</v>
      </c>
      <c r="E60" s="70">
        <v>3.8</v>
      </c>
      <c r="F60" s="2" t="s">
        <v>4</v>
      </c>
      <c r="G60" s="66" t="s">
        <v>77</v>
      </c>
      <c r="H60" s="134" t="s">
        <v>738</v>
      </c>
      <c r="I60" s="8"/>
      <c r="J60" s="8"/>
      <c r="K60" s="21" t="s">
        <v>2068</v>
      </c>
      <c r="L60" s="66" t="s">
        <v>40</v>
      </c>
      <c r="M60" s="8" t="s">
        <v>7</v>
      </c>
      <c r="N60" s="9">
        <v>750</v>
      </c>
      <c r="O60" s="309">
        <v>2100</v>
      </c>
      <c r="P60" s="16">
        <f t="shared" si="4"/>
        <v>1.575</v>
      </c>
      <c r="Q60" s="35"/>
      <c r="R60" s="12"/>
      <c r="S60" s="13">
        <v>7.8</v>
      </c>
      <c r="T60" s="35">
        <v>2.69</v>
      </c>
      <c r="U60" s="16">
        <f t="shared" si="2"/>
        <v>19.407</v>
      </c>
      <c r="V60" s="12"/>
      <c r="W60" s="12"/>
      <c r="X60" s="37"/>
      <c r="Y60" s="12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</row>
    <row r="61" spans="1:78" s="48" customFormat="1" ht="30" x14ac:dyDescent="0.25">
      <c r="A61" s="1" t="s">
        <v>0</v>
      </c>
      <c r="B61" s="1" t="s">
        <v>74</v>
      </c>
      <c r="C61" s="258" t="s">
        <v>111</v>
      </c>
      <c r="D61" s="43" t="s">
        <v>55</v>
      </c>
      <c r="E61" s="259">
        <v>93.25</v>
      </c>
      <c r="F61" s="1" t="s">
        <v>4</v>
      </c>
      <c r="G61" s="5" t="s">
        <v>77</v>
      </c>
      <c r="H61" s="134" t="s">
        <v>738</v>
      </c>
      <c r="I61" s="6"/>
      <c r="J61" s="6"/>
      <c r="K61" s="21" t="s">
        <v>2068</v>
      </c>
      <c r="L61" s="5" t="s">
        <v>40</v>
      </c>
      <c r="M61" s="6" t="s">
        <v>7</v>
      </c>
      <c r="N61" s="31">
        <v>20950</v>
      </c>
      <c r="O61" s="308">
        <v>2100</v>
      </c>
      <c r="P61" s="16">
        <f>N61*O61*0.000001</f>
        <v>43.994999999999997</v>
      </c>
      <c r="Q61" s="12">
        <v>14.96</v>
      </c>
      <c r="R61" s="12">
        <v>1.28</v>
      </c>
      <c r="S61" s="13">
        <v>99.78</v>
      </c>
      <c r="T61" s="12">
        <v>2.78</v>
      </c>
      <c r="U61" s="16">
        <f>S61*T61-P61-Q61-X61-Y61</f>
        <v>76.539399999999972</v>
      </c>
      <c r="V61" s="12"/>
      <c r="W61" s="12"/>
      <c r="X61" s="13">
        <f>(S61-N61/1000)*1.8</f>
        <v>141.89400000000001</v>
      </c>
      <c r="Y61" s="1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</row>
    <row r="62" spans="1:78" s="122" customFormat="1" x14ac:dyDescent="0.25">
      <c r="A62" s="53" t="s">
        <v>139</v>
      </c>
      <c r="B62" s="53" t="s">
        <v>37</v>
      </c>
      <c r="C62" s="117" t="s">
        <v>141</v>
      </c>
      <c r="D62" s="117" t="s">
        <v>142</v>
      </c>
      <c r="E62" s="123">
        <v>2.52</v>
      </c>
      <c r="F62" s="53" t="s">
        <v>4</v>
      </c>
      <c r="G62" s="117" t="s">
        <v>5</v>
      </c>
      <c r="H62" s="134" t="s">
        <v>738</v>
      </c>
      <c r="I62" s="53"/>
      <c r="J62" s="5"/>
      <c r="K62" s="5" t="s">
        <v>2069</v>
      </c>
      <c r="L62" s="124" t="s">
        <v>40</v>
      </c>
      <c r="M62" s="124"/>
      <c r="N62" s="125"/>
      <c r="O62" s="310"/>
      <c r="P62" s="102">
        <v>1.88</v>
      </c>
      <c r="Q62" s="96"/>
      <c r="R62" s="126"/>
      <c r="S62" s="127">
        <v>4.5599999999999996</v>
      </c>
      <c r="T62" s="102">
        <v>3</v>
      </c>
      <c r="U62" s="96">
        <f t="shared" si="2"/>
        <v>9.58</v>
      </c>
      <c r="V62" s="126"/>
      <c r="W62" s="126"/>
      <c r="X62" s="127">
        <v>2.2200000000000002</v>
      </c>
      <c r="Y62" s="127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</row>
    <row r="63" spans="1:78" s="122" customFormat="1" x14ac:dyDescent="0.25">
      <c r="A63" s="53" t="s">
        <v>139</v>
      </c>
      <c r="B63" s="53" t="s">
        <v>37</v>
      </c>
      <c r="C63" s="117" t="s">
        <v>143</v>
      </c>
      <c r="D63" s="117" t="s">
        <v>65</v>
      </c>
      <c r="E63" s="123">
        <v>2.1</v>
      </c>
      <c r="F63" s="53" t="s">
        <v>4</v>
      </c>
      <c r="G63" s="117" t="s">
        <v>5</v>
      </c>
      <c r="H63" s="134" t="s">
        <v>738</v>
      </c>
      <c r="I63" s="53"/>
      <c r="J63" s="5"/>
      <c r="K63" s="5" t="s">
        <v>2069</v>
      </c>
      <c r="L63" s="124" t="s">
        <v>40</v>
      </c>
      <c r="M63" s="124"/>
      <c r="N63" s="125"/>
      <c r="O63" s="310"/>
      <c r="P63" s="102">
        <v>1.56</v>
      </c>
      <c r="Q63" s="96"/>
      <c r="R63" s="126"/>
      <c r="S63" s="127">
        <v>5.98</v>
      </c>
      <c r="T63" s="102">
        <v>3</v>
      </c>
      <c r="U63" s="96">
        <f t="shared" si="2"/>
        <v>14.160000000000002</v>
      </c>
      <c r="V63" s="126"/>
      <c r="W63" s="126"/>
      <c r="X63" s="127">
        <v>2.2200000000000002</v>
      </c>
      <c r="Y63" s="127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</row>
    <row r="64" spans="1:78" s="122" customFormat="1" x14ac:dyDescent="0.25">
      <c r="A64" s="53" t="s">
        <v>139</v>
      </c>
      <c r="B64" s="53" t="s">
        <v>37</v>
      </c>
      <c r="C64" s="117" t="s">
        <v>144</v>
      </c>
      <c r="D64" s="117" t="s">
        <v>65</v>
      </c>
      <c r="E64" s="123">
        <v>2.1</v>
      </c>
      <c r="F64" s="53" t="s">
        <v>4</v>
      </c>
      <c r="G64" s="117" t="s">
        <v>5</v>
      </c>
      <c r="H64" s="134" t="s">
        <v>738</v>
      </c>
      <c r="I64" s="53"/>
      <c r="J64" s="5"/>
      <c r="K64" s="5" t="s">
        <v>2069</v>
      </c>
      <c r="L64" s="124" t="s">
        <v>40</v>
      </c>
      <c r="M64" s="124"/>
      <c r="N64" s="125"/>
      <c r="O64" s="310"/>
      <c r="P64" s="102">
        <v>1.56</v>
      </c>
      <c r="Q64" s="96"/>
      <c r="R64" s="126"/>
      <c r="S64" s="127">
        <v>5.98</v>
      </c>
      <c r="T64" s="102">
        <v>3</v>
      </c>
      <c r="U64" s="96">
        <f t="shared" si="2"/>
        <v>14.160000000000002</v>
      </c>
      <c r="V64" s="126"/>
      <c r="W64" s="126"/>
      <c r="X64" s="127">
        <v>2.2200000000000002</v>
      </c>
      <c r="Y64" s="127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</row>
    <row r="65" spans="1:78" s="122" customFormat="1" ht="30" x14ac:dyDescent="0.25">
      <c r="A65" s="53" t="s">
        <v>139</v>
      </c>
      <c r="B65" s="53" t="s">
        <v>74</v>
      </c>
      <c r="C65" s="117" t="s">
        <v>146</v>
      </c>
      <c r="D65" s="117" t="s">
        <v>147</v>
      </c>
      <c r="E65" s="123">
        <v>93.15</v>
      </c>
      <c r="F65" s="53" t="s">
        <v>4</v>
      </c>
      <c r="G65" s="117" t="s">
        <v>5</v>
      </c>
      <c r="H65" s="134"/>
      <c r="I65" s="53"/>
      <c r="J65" s="5"/>
      <c r="K65" s="41" t="s">
        <v>741</v>
      </c>
      <c r="L65" s="124" t="s">
        <v>40</v>
      </c>
      <c r="M65" s="124"/>
      <c r="N65" s="125"/>
      <c r="O65" s="310"/>
      <c r="P65" s="102"/>
      <c r="Q65" s="96">
        <v>169.35</v>
      </c>
      <c r="R65" s="126"/>
      <c r="S65" s="127">
        <v>108.14</v>
      </c>
      <c r="T65" s="102">
        <v>4.3499999999999996</v>
      </c>
      <c r="U65" s="96">
        <f t="shared" si="2"/>
        <v>301.05899999999997</v>
      </c>
      <c r="V65" s="126"/>
      <c r="W65" s="126"/>
      <c r="X65" s="127"/>
      <c r="Y65" s="127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</row>
    <row r="66" spans="1:78" s="65" customFormat="1" ht="30" x14ac:dyDescent="0.25">
      <c r="A66" s="5" t="s">
        <v>139</v>
      </c>
      <c r="B66" s="5" t="s">
        <v>37</v>
      </c>
      <c r="C66" s="41" t="s">
        <v>155</v>
      </c>
      <c r="D66" s="41" t="s">
        <v>83</v>
      </c>
      <c r="E66" s="97">
        <v>9.6999999999999993</v>
      </c>
      <c r="F66" s="5" t="s">
        <v>4</v>
      </c>
      <c r="G66" s="41" t="s">
        <v>77</v>
      </c>
      <c r="H66" s="136" t="s">
        <v>738</v>
      </c>
      <c r="I66" s="5"/>
      <c r="J66" s="5"/>
      <c r="K66" s="21" t="s">
        <v>2068</v>
      </c>
      <c r="L66" s="95" t="s">
        <v>40</v>
      </c>
      <c r="M66" s="95"/>
      <c r="N66" s="75"/>
      <c r="O66" s="311"/>
      <c r="P66" s="76">
        <v>21.19</v>
      </c>
      <c r="Q66" s="78"/>
      <c r="R66" s="84"/>
      <c r="S66" s="78">
        <v>12.16</v>
      </c>
      <c r="T66" s="84">
        <v>3</v>
      </c>
      <c r="U66" s="319">
        <f>S66*T66-P66-Q66-X66-Y66</f>
        <v>-1.4799999999999969</v>
      </c>
      <c r="V66" s="84"/>
      <c r="W66" s="84"/>
      <c r="X66" s="78"/>
      <c r="Y66" s="78">
        <v>16.77</v>
      </c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</row>
    <row r="67" spans="1:78" s="65" customFormat="1" ht="30" x14ac:dyDescent="0.25">
      <c r="A67" s="5" t="s">
        <v>139</v>
      </c>
      <c r="B67" s="5" t="s">
        <v>37</v>
      </c>
      <c r="C67" s="41" t="s">
        <v>156</v>
      </c>
      <c r="D67" s="41" t="s">
        <v>87</v>
      </c>
      <c r="E67" s="97">
        <v>24</v>
      </c>
      <c r="F67" s="5" t="s">
        <v>4</v>
      </c>
      <c r="G67" s="41" t="s">
        <v>77</v>
      </c>
      <c r="H67" s="136" t="s">
        <v>738</v>
      </c>
      <c r="I67" s="5"/>
      <c r="J67" s="5"/>
      <c r="K67" s="21" t="s">
        <v>2068</v>
      </c>
      <c r="L67" s="95" t="s">
        <v>157</v>
      </c>
      <c r="M67" s="95"/>
      <c r="N67" s="75"/>
      <c r="O67" s="311"/>
      <c r="P67" s="76"/>
      <c r="Q67" s="78"/>
      <c r="R67" s="84"/>
      <c r="S67" s="78">
        <v>20.8</v>
      </c>
      <c r="T67" s="84">
        <v>5</v>
      </c>
      <c r="U67" s="319">
        <f>S67*T67-P67-Q67-X67-Y67</f>
        <v>104</v>
      </c>
      <c r="V67" s="84"/>
      <c r="W67" s="84"/>
      <c r="X67" s="78"/>
      <c r="Y67" s="78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</row>
    <row r="68" spans="1:78" s="65" customFormat="1" ht="30" x14ac:dyDescent="0.25">
      <c r="A68" s="5" t="s">
        <v>139</v>
      </c>
      <c r="B68" s="5" t="s">
        <v>37</v>
      </c>
      <c r="C68" s="41" t="s">
        <v>158</v>
      </c>
      <c r="D68" s="41" t="s">
        <v>55</v>
      </c>
      <c r="E68" s="97">
        <v>55.57</v>
      </c>
      <c r="F68" s="5" t="s">
        <v>4</v>
      </c>
      <c r="G68" s="41" t="s">
        <v>77</v>
      </c>
      <c r="H68" s="136" t="s">
        <v>738</v>
      </c>
      <c r="I68" s="5"/>
      <c r="J68" s="5"/>
      <c r="K68" s="21" t="s">
        <v>2068</v>
      </c>
      <c r="L68" s="95" t="s">
        <v>40</v>
      </c>
      <c r="M68" s="95"/>
      <c r="N68" s="75"/>
      <c r="O68" s="311"/>
      <c r="P68" s="76">
        <v>7.98</v>
      </c>
      <c r="Q68" s="319">
        <v>14.65</v>
      </c>
      <c r="R68" s="84"/>
      <c r="S68" s="78">
        <v>49</v>
      </c>
      <c r="T68" s="84">
        <v>3</v>
      </c>
      <c r="U68" s="319">
        <f>S68*T68-P68-Q68-X68-Y68</f>
        <v>116.39</v>
      </c>
      <c r="V68" s="84"/>
      <c r="W68" s="84"/>
      <c r="X68" s="78"/>
      <c r="Y68" s="78">
        <v>7.98</v>
      </c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</row>
    <row r="69" spans="1:78" s="122" customFormat="1" ht="30" x14ac:dyDescent="0.25">
      <c r="A69" s="53" t="s">
        <v>139</v>
      </c>
      <c r="B69" s="53" t="s">
        <v>37</v>
      </c>
      <c r="C69" s="50" t="s">
        <v>159</v>
      </c>
      <c r="D69" s="50" t="s">
        <v>55</v>
      </c>
      <c r="E69" s="120">
        <v>55.43</v>
      </c>
      <c r="F69" s="53" t="s">
        <v>4</v>
      </c>
      <c r="G69" s="50" t="s">
        <v>77</v>
      </c>
      <c r="H69" s="136" t="s">
        <v>738</v>
      </c>
      <c r="I69" s="53"/>
      <c r="J69" s="5"/>
      <c r="K69" s="21" t="s">
        <v>2068</v>
      </c>
      <c r="L69" s="124" t="s">
        <v>40</v>
      </c>
      <c r="M69" s="124"/>
      <c r="N69" s="125"/>
      <c r="O69" s="312"/>
      <c r="P69" s="102">
        <v>2.66</v>
      </c>
      <c r="Q69" s="96">
        <v>15.28</v>
      </c>
      <c r="R69" s="126"/>
      <c r="S69" s="127">
        <v>47.56</v>
      </c>
      <c r="T69" s="102">
        <v>3</v>
      </c>
      <c r="U69" s="96" t="e">
        <f>S69*T69-P69-Q69-X69-Y69-#REF!</f>
        <v>#REF!</v>
      </c>
      <c r="V69" s="126"/>
      <c r="W69" s="126"/>
      <c r="X69" s="127"/>
      <c r="Y69" s="127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</row>
    <row r="70" spans="1:78" s="98" customFormat="1" x14ac:dyDescent="0.25">
      <c r="A70" s="45" t="s">
        <v>160</v>
      </c>
      <c r="B70" s="45" t="s">
        <v>5</v>
      </c>
      <c r="C70" s="60" t="s">
        <v>161</v>
      </c>
      <c r="D70" s="60" t="s">
        <v>162</v>
      </c>
      <c r="E70" s="360">
        <v>20.93</v>
      </c>
      <c r="F70" s="45" t="s">
        <v>4</v>
      </c>
      <c r="G70" s="41" t="s">
        <v>5</v>
      </c>
      <c r="H70" s="136" t="s">
        <v>738</v>
      </c>
      <c r="I70" s="21"/>
      <c r="J70" s="21"/>
      <c r="K70" s="5" t="s">
        <v>2069</v>
      </c>
      <c r="L70" s="90" t="s">
        <v>10</v>
      </c>
      <c r="M70" s="21"/>
      <c r="N70" s="75"/>
      <c r="O70" s="313"/>
      <c r="P70" s="76">
        <v>2.06</v>
      </c>
      <c r="Q70" s="76">
        <v>6.33</v>
      </c>
      <c r="R70" s="84"/>
      <c r="S70" s="78">
        <v>18.96</v>
      </c>
      <c r="T70" s="76">
        <v>2.93</v>
      </c>
      <c r="U70" s="84">
        <f t="shared" ref="U70:U82" si="5">S70*T70-P70-Q70-X70-Y70</f>
        <v>10.562800000000003</v>
      </c>
      <c r="V70" s="84"/>
      <c r="W70" s="84"/>
      <c r="X70" s="84">
        <v>36.6</v>
      </c>
      <c r="Y70" s="84"/>
    </row>
    <row r="71" spans="1:78" s="98" customFormat="1" ht="30" x14ac:dyDescent="0.25">
      <c r="A71" s="28" t="s">
        <v>160</v>
      </c>
      <c r="B71" s="28" t="s">
        <v>5</v>
      </c>
      <c r="C71" s="43" t="s">
        <v>163</v>
      </c>
      <c r="D71" s="43" t="s">
        <v>164</v>
      </c>
      <c r="E71" s="361">
        <v>21.6</v>
      </c>
      <c r="F71" s="28" t="s">
        <v>4</v>
      </c>
      <c r="G71" s="41" t="s">
        <v>5</v>
      </c>
      <c r="H71" s="136" t="s">
        <v>738</v>
      </c>
      <c r="I71" s="5"/>
      <c r="J71" s="5"/>
      <c r="K71" s="21" t="s">
        <v>2068</v>
      </c>
      <c r="L71" s="95" t="s">
        <v>40</v>
      </c>
      <c r="M71" s="21"/>
      <c r="N71" s="75"/>
      <c r="O71" s="313"/>
      <c r="P71" s="76">
        <v>2.06</v>
      </c>
      <c r="Q71" s="76">
        <v>6.26</v>
      </c>
      <c r="R71" s="84"/>
      <c r="S71" s="78">
        <v>19.399999999999999</v>
      </c>
      <c r="T71" s="76">
        <v>2.93</v>
      </c>
      <c r="U71" s="84">
        <f t="shared" si="5"/>
        <v>48.521999999999998</v>
      </c>
      <c r="V71" s="84"/>
      <c r="W71" s="84"/>
      <c r="X71" s="84"/>
      <c r="Y71" s="84"/>
    </row>
    <row r="72" spans="1:78" s="98" customFormat="1" ht="30" x14ac:dyDescent="0.25">
      <c r="A72" s="28" t="s">
        <v>160</v>
      </c>
      <c r="B72" s="28" t="s">
        <v>5</v>
      </c>
      <c r="C72" s="43" t="s">
        <v>165</v>
      </c>
      <c r="D72" s="43" t="s">
        <v>166</v>
      </c>
      <c r="E72" s="361">
        <v>23.12</v>
      </c>
      <c r="F72" s="28" t="s">
        <v>4</v>
      </c>
      <c r="G72" s="41" t="s">
        <v>5</v>
      </c>
      <c r="H72" s="136" t="s">
        <v>738</v>
      </c>
      <c r="I72" s="5"/>
      <c r="J72" s="5"/>
      <c r="K72" s="21" t="s">
        <v>2068</v>
      </c>
      <c r="L72" s="95" t="s">
        <v>10</v>
      </c>
      <c r="M72" s="21"/>
      <c r="N72" s="75"/>
      <c r="O72" s="313"/>
      <c r="P72" s="76">
        <v>2.06</v>
      </c>
      <c r="Q72" s="76">
        <v>7.1</v>
      </c>
      <c r="R72" s="84"/>
      <c r="S72" s="78">
        <v>19.66</v>
      </c>
      <c r="T72" s="76">
        <v>2.94</v>
      </c>
      <c r="U72" s="84">
        <f t="shared" si="5"/>
        <v>48.640399999999993</v>
      </c>
      <c r="V72" s="84"/>
      <c r="W72" s="84"/>
      <c r="X72" s="84"/>
      <c r="Y72" s="84"/>
    </row>
    <row r="73" spans="1:78" s="98" customFormat="1" ht="30" x14ac:dyDescent="0.25">
      <c r="A73" s="28" t="s">
        <v>160</v>
      </c>
      <c r="B73" s="28" t="s">
        <v>5</v>
      </c>
      <c r="C73" s="43" t="s">
        <v>167</v>
      </c>
      <c r="D73" s="43" t="s">
        <v>168</v>
      </c>
      <c r="E73" s="361">
        <v>20.95</v>
      </c>
      <c r="F73" s="28" t="s">
        <v>4</v>
      </c>
      <c r="G73" s="41" t="s">
        <v>5</v>
      </c>
      <c r="H73" s="136" t="s">
        <v>738</v>
      </c>
      <c r="I73" s="5"/>
      <c r="J73" s="5"/>
      <c r="K73" s="21" t="s">
        <v>2068</v>
      </c>
      <c r="L73" s="95" t="s">
        <v>10</v>
      </c>
      <c r="M73" s="21"/>
      <c r="N73" s="75"/>
      <c r="O73" s="313"/>
      <c r="P73" s="76">
        <v>2.06</v>
      </c>
      <c r="Q73" s="76">
        <v>7.14</v>
      </c>
      <c r="R73" s="84"/>
      <c r="S73" s="78">
        <v>18.96</v>
      </c>
      <c r="T73" s="76">
        <v>2.94</v>
      </c>
      <c r="U73" s="84">
        <f t="shared" si="5"/>
        <v>46.542400000000001</v>
      </c>
      <c r="V73" s="84"/>
      <c r="W73" s="84"/>
      <c r="X73" s="84"/>
      <c r="Y73" s="84"/>
    </row>
    <row r="74" spans="1:78" s="98" customFormat="1" ht="30" x14ac:dyDescent="0.25">
      <c r="A74" s="28" t="s">
        <v>160</v>
      </c>
      <c r="B74" s="28" t="s">
        <v>5</v>
      </c>
      <c r="C74" s="43" t="s">
        <v>169</v>
      </c>
      <c r="D74" s="43" t="s">
        <v>170</v>
      </c>
      <c r="E74" s="361">
        <v>29.31</v>
      </c>
      <c r="F74" s="28" t="s">
        <v>4</v>
      </c>
      <c r="G74" s="41" t="s">
        <v>5</v>
      </c>
      <c r="H74" s="136" t="s">
        <v>738</v>
      </c>
      <c r="I74" s="5"/>
      <c r="J74" s="5"/>
      <c r="K74" s="21" t="s">
        <v>2068</v>
      </c>
      <c r="L74" s="95" t="s">
        <v>10</v>
      </c>
      <c r="M74" s="21"/>
      <c r="N74" s="75"/>
      <c r="O74" s="313"/>
      <c r="P74" s="76">
        <v>2.06</v>
      </c>
      <c r="Q74" s="76">
        <v>8.94</v>
      </c>
      <c r="R74" s="84"/>
      <c r="S74" s="78">
        <v>21.66</v>
      </c>
      <c r="T74" s="76">
        <v>2.72</v>
      </c>
      <c r="U74" s="84">
        <f t="shared" si="5"/>
        <v>47.915200000000006</v>
      </c>
      <c r="V74" s="84"/>
      <c r="W74" s="84"/>
      <c r="X74" s="84"/>
      <c r="Y74" s="84"/>
    </row>
    <row r="75" spans="1:78" s="98" customFormat="1" ht="30" x14ac:dyDescent="0.25">
      <c r="A75" s="28" t="s">
        <v>160</v>
      </c>
      <c r="B75" s="28" t="s">
        <v>5</v>
      </c>
      <c r="C75" s="43" t="s">
        <v>171</v>
      </c>
      <c r="D75" s="43" t="s">
        <v>172</v>
      </c>
      <c r="E75" s="361">
        <v>22.19</v>
      </c>
      <c r="F75" s="28" t="s">
        <v>4</v>
      </c>
      <c r="G75" s="41" t="s">
        <v>5</v>
      </c>
      <c r="H75" s="136" t="s">
        <v>738</v>
      </c>
      <c r="I75" s="5"/>
      <c r="J75" s="5"/>
      <c r="K75" s="21" t="s">
        <v>2068</v>
      </c>
      <c r="L75" s="95" t="s">
        <v>10</v>
      </c>
      <c r="M75" s="21"/>
      <c r="N75" s="75"/>
      <c r="O75" s="313"/>
      <c r="P75" s="76">
        <v>2.06</v>
      </c>
      <c r="Q75" s="76">
        <v>5.64</v>
      </c>
      <c r="R75" s="84"/>
      <c r="S75" s="78">
        <v>19.02</v>
      </c>
      <c r="T75" s="76">
        <v>2.97</v>
      </c>
      <c r="U75" s="84">
        <f t="shared" si="5"/>
        <v>48.789400000000001</v>
      </c>
      <c r="V75" s="84"/>
      <c r="W75" s="84"/>
      <c r="X75" s="84"/>
      <c r="Y75" s="84"/>
    </row>
    <row r="76" spans="1:78" s="98" customFormat="1" ht="30" x14ac:dyDescent="0.25">
      <c r="A76" s="28" t="s">
        <v>160</v>
      </c>
      <c r="B76" s="28" t="s">
        <v>5</v>
      </c>
      <c r="C76" s="43" t="s">
        <v>173</v>
      </c>
      <c r="D76" s="43" t="s">
        <v>174</v>
      </c>
      <c r="E76" s="361">
        <v>15.7</v>
      </c>
      <c r="F76" s="28" t="s">
        <v>4</v>
      </c>
      <c r="G76" s="41" t="s">
        <v>5</v>
      </c>
      <c r="H76" s="136" t="s">
        <v>738</v>
      </c>
      <c r="I76" s="5"/>
      <c r="J76" s="5"/>
      <c r="K76" s="21" t="s">
        <v>2068</v>
      </c>
      <c r="L76" s="95" t="s">
        <v>40</v>
      </c>
      <c r="M76" s="21"/>
      <c r="N76" s="75"/>
      <c r="O76" s="313"/>
      <c r="P76" s="76">
        <v>2.06</v>
      </c>
      <c r="Q76" s="76">
        <v>3.76</v>
      </c>
      <c r="R76" s="84"/>
      <c r="S76" s="78">
        <v>16.100000000000001</v>
      </c>
      <c r="T76" s="76">
        <v>2.87</v>
      </c>
      <c r="U76" s="84">
        <f t="shared" si="5"/>
        <v>40.387000000000008</v>
      </c>
      <c r="V76" s="84"/>
      <c r="W76" s="84"/>
      <c r="X76" s="84"/>
      <c r="Y76" s="84"/>
    </row>
    <row r="77" spans="1:78" s="98" customFormat="1" ht="30" x14ac:dyDescent="0.25">
      <c r="A77" s="28" t="s">
        <v>160</v>
      </c>
      <c r="B77" s="28" t="s">
        <v>5</v>
      </c>
      <c r="C77" s="43" t="s">
        <v>175</v>
      </c>
      <c r="D77" s="43" t="s">
        <v>85</v>
      </c>
      <c r="E77" s="361">
        <v>1.64</v>
      </c>
      <c r="F77" s="28" t="s">
        <v>4</v>
      </c>
      <c r="G77" s="41" t="s">
        <v>5</v>
      </c>
      <c r="H77" s="136" t="s">
        <v>738</v>
      </c>
      <c r="I77" s="5"/>
      <c r="J77" s="5"/>
      <c r="K77" s="21" t="s">
        <v>2068</v>
      </c>
      <c r="L77" s="95" t="s">
        <v>10</v>
      </c>
      <c r="M77" s="21"/>
      <c r="N77" s="75"/>
      <c r="O77" s="313"/>
      <c r="P77" s="76">
        <v>1.54</v>
      </c>
      <c r="Q77" s="76"/>
      <c r="R77" s="84"/>
      <c r="S77" s="78">
        <v>5.14</v>
      </c>
      <c r="T77" s="76">
        <v>2.87</v>
      </c>
      <c r="U77" s="84">
        <f t="shared" si="5"/>
        <v>13.2118</v>
      </c>
      <c r="V77" s="84"/>
      <c r="W77" s="84"/>
      <c r="X77" s="84"/>
      <c r="Y77" s="84"/>
    </row>
    <row r="78" spans="1:78" s="98" customFormat="1" x14ac:dyDescent="0.25">
      <c r="A78" s="28" t="s">
        <v>160</v>
      </c>
      <c r="B78" s="28" t="s">
        <v>5</v>
      </c>
      <c r="C78" s="43" t="s">
        <v>176</v>
      </c>
      <c r="D78" s="43" t="s">
        <v>177</v>
      </c>
      <c r="E78" s="361">
        <v>1.1399999999999999</v>
      </c>
      <c r="F78" s="28" t="s">
        <v>4</v>
      </c>
      <c r="G78" s="41" t="s">
        <v>5</v>
      </c>
      <c r="H78" s="136" t="s">
        <v>738</v>
      </c>
      <c r="I78" s="5"/>
      <c r="J78" s="5"/>
      <c r="K78" s="5" t="s">
        <v>2069</v>
      </c>
      <c r="L78" s="95" t="s">
        <v>40</v>
      </c>
      <c r="M78" s="21"/>
      <c r="N78" s="75"/>
      <c r="O78" s="313"/>
      <c r="P78" s="76">
        <v>1.54</v>
      </c>
      <c r="Q78" s="76"/>
      <c r="R78" s="84"/>
      <c r="S78" s="78">
        <v>4.5599999999999996</v>
      </c>
      <c r="T78" s="76">
        <v>2.95</v>
      </c>
      <c r="U78" s="84">
        <f t="shared" si="5"/>
        <v>2.1519999999999992</v>
      </c>
      <c r="V78" s="84"/>
      <c r="W78" s="84"/>
      <c r="X78" s="84">
        <v>9.76</v>
      </c>
      <c r="Y78" s="84"/>
    </row>
    <row r="79" spans="1:78" s="98" customFormat="1" x14ac:dyDescent="0.25">
      <c r="A79" s="28" t="s">
        <v>160</v>
      </c>
      <c r="B79" s="28" t="s">
        <v>5</v>
      </c>
      <c r="C79" s="43" t="s">
        <v>178</v>
      </c>
      <c r="D79" s="43" t="s">
        <v>179</v>
      </c>
      <c r="E79" s="361">
        <v>5.86</v>
      </c>
      <c r="F79" s="28" t="s">
        <v>4</v>
      </c>
      <c r="G79" s="41" t="s">
        <v>5</v>
      </c>
      <c r="H79" s="136" t="s">
        <v>738</v>
      </c>
      <c r="I79" s="5"/>
      <c r="J79" s="5"/>
      <c r="K79" s="5" t="s">
        <v>2069</v>
      </c>
      <c r="L79" s="95" t="s">
        <v>40</v>
      </c>
      <c r="M79" s="21"/>
      <c r="N79" s="75"/>
      <c r="O79" s="313"/>
      <c r="P79" s="76">
        <v>1.75</v>
      </c>
      <c r="Q79" s="76"/>
      <c r="R79" s="84"/>
      <c r="S79" s="78">
        <v>9.7799999999999994</v>
      </c>
      <c r="T79" s="76">
        <v>2.96</v>
      </c>
      <c r="U79" s="84">
        <f t="shared" si="5"/>
        <v>5.678799999999999</v>
      </c>
      <c r="V79" s="84"/>
      <c r="W79" s="84"/>
      <c r="X79" s="84">
        <v>21.52</v>
      </c>
      <c r="Y79" s="84"/>
    </row>
    <row r="80" spans="1:78" s="98" customFormat="1" x14ac:dyDescent="0.25">
      <c r="A80" s="28" t="s">
        <v>160</v>
      </c>
      <c r="B80" s="28" t="s">
        <v>5</v>
      </c>
      <c r="C80" s="43" t="s">
        <v>180</v>
      </c>
      <c r="D80" s="43" t="s">
        <v>62</v>
      </c>
      <c r="E80" s="361">
        <v>4.8</v>
      </c>
      <c r="F80" s="28" t="s">
        <v>4</v>
      </c>
      <c r="G80" s="41" t="s">
        <v>5</v>
      </c>
      <c r="H80" s="136" t="s">
        <v>738</v>
      </c>
      <c r="I80" s="5"/>
      <c r="J80" s="5"/>
      <c r="K80" s="5" t="s">
        <v>2069</v>
      </c>
      <c r="L80" s="95" t="s">
        <v>40</v>
      </c>
      <c r="M80" s="21"/>
      <c r="N80" s="75"/>
      <c r="O80" s="313"/>
      <c r="P80" s="76">
        <v>1.54</v>
      </c>
      <c r="Q80" s="76">
        <v>4.3099999999999996</v>
      </c>
      <c r="R80" s="84"/>
      <c r="S80" s="78">
        <v>12.56</v>
      </c>
      <c r="T80" s="76">
        <v>2.96</v>
      </c>
      <c r="U80" s="84">
        <f t="shared" si="5"/>
        <v>5.0076000000000001</v>
      </c>
      <c r="V80" s="84"/>
      <c r="W80" s="84"/>
      <c r="X80" s="84">
        <v>26.32</v>
      </c>
      <c r="Y80" s="84"/>
    </row>
    <row r="81" spans="1:25" s="98" customFormat="1" ht="30" x14ac:dyDescent="0.25">
      <c r="A81" s="28" t="s">
        <v>160</v>
      </c>
      <c r="B81" s="28" t="s">
        <v>5</v>
      </c>
      <c r="C81" s="43" t="s">
        <v>181</v>
      </c>
      <c r="D81" s="43" t="s">
        <v>80</v>
      </c>
      <c r="E81" s="361">
        <v>1.2</v>
      </c>
      <c r="F81" s="28" t="s">
        <v>4</v>
      </c>
      <c r="G81" s="41" t="s">
        <v>5</v>
      </c>
      <c r="H81" s="136" t="s">
        <v>738</v>
      </c>
      <c r="I81" s="5"/>
      <c r="J81" s="5"/>
      <c r="K81" s="21" t="s">
        <v>2068</v>
      </c>
      <c r="L81" s="95" t="s">
        <v>40</v>
      </c>
      <c r="M81" s="21"/>
      <c r="N81" s="75"/>
      <c r="O81" s="313"/>
      <c r="P81" s="76"/>
      <c r="Q81" s="76"/>
      <c r="R81" s="84"/>
      <c r="S81" s="78">
        <v>4.5</v>
      </c>
      <c r="T81" s="76">
        <v>2.96</v>
      </c>
      <c r="U81" s="84">
        <f t="shared" si="5"/>
        <v>13.32</v>
      </c>
      <c r="V81" s="84"/>
      <c r="W81" s="84"/>
      <c r="X81" s="84"/>
      <c r="Y81" s="84"/>
    </row>
    <row r="82" spans="1:25" s="98" customFormat="1" ht="30" x14ac:dyDescent="0.25">
      <c r="A82" s="28" t="s">
        <v>160</v>
      </c>
      <c r="B82" s="28" t="s">
        <v>5</v>
      </c>
      <c r="C82" s="43" t="s">
        <v>182</v>
      </c>
      <c r="D82" s="43" t="s">
        <v>183</v>
      </c>
      <c r="E82" s="361">
        <v>52.25</v>
      </c>
      <c r="F82" s="28" t="s">
        <v>4</v>
      </c>
      <c r="G82" s="41" t="s">
        <v>5</v>
      </c>
      <c r="H82" s="136" t="s">
        <v>738</v>
      </c>
      <c r="I82" s="5"/>
      <c r="J82" s="5"/>
      <c r="K82" s="21" t="s">
        <v>2068</v>
      </c>
      <c r="L82" s="95" t="s">
        <v>10</v>
      </c>
      <c r="M82" s="21"/>
      <c r="N82" s="75"/>
      <c r="O82" s="313"/>
      <c r="P82" s="76"/>
      <c r="Q82" s="76">
        <v>3.95</v>
      </c>
      <c r="R82" s="84"/>
      <c r="S82" s="78">
        <v>54.18</v>
      </c>
      <c r="T82" s="76">
        <v>2.71</v>
      </c>
      <c r="U82" s="84">
        <f t="shared" si="5"/>
        <v>142.87780000000001</v>
      </c>
      <c r="V82" s="84"/>
      <c r="W82" s="84"/>
      <c r="X82" s="84"/>
      <c r="Y82" s="84"/>
    </row>
    <row r="83" spans="1:25" s="98" customFormat="1" ht="30" x14ac:dyDescent="0.25">
      <c r="A83" s="28" t="s">
        <v>160</v>
      </c>
      <c r="B83" s="28" t="s">
        <v>5</v>
      </c>
      <c r="C83" s="43" t="s">
        <v>184</v>
      </c>
      <c r="D83" s="43" t="s">
        <v>185</v>
      </c>
      <c r="E83" s="361">
        <v>48.1</v>
      </c>
      <c r="F83" s="28" t="s">
        <v>4</v>
      </c>
      <c r="G83" s="41" t="s">
        <v>5</v>
      </c>
      <c r="H83" s="136" t="s">
        <v>738</v>
      </c>
      <c r="I83" s="5"/>
      <c r="J83" s="5"/>
      <c r="K83" s="21" t="s">
        <v>2068</v>
      </c>
      <c r="L83" s="95" t="s">
        <v>10</v>
      </c>
      <c r="M83" s="21"/>
      <c r="N83" s="75"/>
      <c r="O83" s="313"/>
      <c r="P83" s="76"/>
      <c r="Q83" s="76">
        <v>10.38</v>
      </c>
      <c r="R83" s="84"/>
      <c r="S83" s="78">
        <v>28.24</v>
      </c>
      <c r="T83" s="76">
        <v>2.96</v>
      </c>
      <c r="U83" s="84">
        <f>S83*T83-P83-Q83-X83-Y83-Y83</f>
        <v>39.470399999999984</v>
      </c>
      <c r="V83" s="84"/>
      <c r="W83" s="84"/>
      <c r="X83" s="84"/>
      <c r="Y83" s="84">
        <v>16.87</v>
      </c>
    </row>
    <row r="84" spans="1:25" s="98" customFormat="1" ht="30" x14ac:dyDescent="0.25">
      <c r="A84" s="3" t="s">
        <v>160</v>
      </c>
      <c r="B84" s="3" t="s">
        <v>5</v>
      </c>
      <c r="C84" s="215" t="s">
        <v>186</v>
      </c>
      <c r="D84" s="215" t="s">
        <v>150</v>
      </c>
      <c r="E84" s="362">
        <v>17.829999999999998</v>
      </c>
      <c r="F84" s="3" t="s">
        <v>4</v>
      </c>
      <c r="G84" s="66" t="s">
        <v>5</v>
      </c>
      <c r="H84" s="216" t="s">
        <v>738</v>
      </c>
      <c r="I84" s="62"/>
      <c r="J84" s="62"/>
      <c r="K84" s="21" t="s">
        <v>2068</v>
      </c>
      <c r="L84" s="74" t="s">
        <v>10</v>
      </c>
      <c r="M84" s="210"/>
      <c r="N84" s="92"/>
      <c r="O84" s="314"/>
      <c r="P84" s="76">
        <v>1.56</v>
      </c>
      <c r="Q84" s="76">
        <v>5.26</v>
      </c>
      <c r="R84" s="84"/>
      <c r="S84" s="78">
        <v>18.079999999999998</v>
      </c>
      <c r="T84" s="76">
        <v>2.96</v>
      </c>
      <c r="U84" s="84">
        <f>S84*T84-P84-Q84-X84-Y84-Y84</f>
        <v>43.576799999999992</v>
      </c>
      <c r="V84" s="84"/>
      <c r="W84" s="84"/>
      <c r="X84" s="84"/>
      <c r="Y84" s="84">
        <v>1.56</v>
      </c>
    </row>
    <row r="85" spans="1:25" s="105" customFormat="1" ht="30" x14ac:dyDescent="0.25">
      <c r="A85" s="28" t="s">
        <v>160</v>
      </c>
      <c r="B85" s="28" t="s">
        <v>5</v>
      </c>
      <c r="C85" s="43" t="s">
        <v>187</v>
      </c>
      <c r="D85" s="43" t="s">
        <v>188</v>
      </c>
      <c r="E85" s="361">
        <v>17.829999999999998</v>
      </c>
      <c r="F85" s="28" t="s">
        <v>4</v>
      </c>
      <c r="G85" s="34" t="s">
        <v>5</v>
      </c>
      <c r="H85" s="134" t="s">
        <v>738</v>
      </c>
      <c r="I85" s="5"/>
      <c r="J85" s="5"/>
      <c r="K85" s="21" t="s">
        <v>2068</v>
      </c>
      <c r="L85" s="95" t="s">
        <v>10</v>
      </c>
      <c r="M85" s="5"/>
      <c r="N85" s="75"/>
      <c r="O85" s="75"/>
      <c r="P85" s="76"/>
      <c r="Q85" s="76">
        <v>5.26</v>
      </c>
      <c r="R85" s="84"/>
      <c r="S85" s="78">
        <v>17</v>
      </c>
      <c r="T85" s="84">
        <v>2.96</v>
      </c>
      <c r="U85" s="84">
        <f t="shared" ref="U85:U87" si="6">S85*T85-P85-Q85-X85-Y85</f>
        <v>45.06</v>
      </c>
      <c r="V85" s="84"/>
      <c r="W85" s="84"/>
      <c r="X85" s="84"/>
      <c r="Y85" s="84"/>
    </row>
    <row r="86" spans="1:25" s="98" customFormat="1" ht="30" x14ac:dyDescent="0.25">
      <c r="A86" s="81" t="s">
        <v>160</v>
      </c>
      <c r="B86" s="81" t="s">
        <v>1</v>
      </c>
      <c r="C86" s="81" t="s">
        <v>189</v>
      </c>
      <c r="D86" s="81" t="s">
        <v>190</v>
      </c>
      <c r="E86" s="363">
        <v>25.8</v>
      </c>
      <c r="F86" s="81" t="s">
        <v>4</v>
      </c>
      <c r="G86" s="21" t="s">
        <v>5</v>
      </c>
      <c r="H86" s="133" t="s">
        <v>738</v>
      </c>
      <c r="I86" s="21"/>
      <c r="J86" s="21"/>
      <c r="K86" s="21" t="s">
        <v>2068</v>
      </c>
      <c r="L86" s="79" t="s">
        <v>6</v>
      </c>
      <c r="M86" s="21" t="s">
        <v>7</v>
      </c>
      <c r="N86" s="82">
        <v>5400</v>
      </c>
      <c r="O86" s="313">
        <v>2100</v>
      </c>
      <c r="P86" s="76">
        <f t="shared" ref="P86:P87" si="7">N86*O86*0.000001</f>
        <v>11.34</v>
      </c>
      <c r="Q86" s="84"/>
      <c r="R86" s="84"/>
      <c r="S86" s="78">
        <v>23.57</v>
      </c>
      <c r="T86" s="84">
        <v>2.7</v>
      </c>
      <c r="U86" s="76">
        <f t="shared" si="6"/>
        <v>47.509000000000007</v>
      </c>
      <c r="V86" s="84"/>
      <c r="W86" s="84"/>
      <c r="X86" s="84"/>
      <c r="Y86" s="84">
        <v>4.79</v>
      </c>
    </row>
    <row r="87" spans="1:25" s="98" customFormat="1" ht="30" x14ac:dyDescent="0.25">
      <c r="A87" s="100" t="s">
        <v>160</v>
      </c>
      <c r="B87" s="100" t="s">
        <v>1</v>
      </c>
      <c r="C87" s="100" t="s">
        <v>191</v>
      </c>
      <c r="D87" s="100" t="s">
        <v>192</v>
      </c>
      <c r="E87" s="364">
        <v>24.8</v>
      </c>
      <c r="F87" s="100" t="s">
        <v>4</v>
      </c>
      <c r="G87" s="21" t="s">
        <v>5</v>
      </c>
      <c r="H87" s="133" t="s">
        <v>738</v>
      </c>
      <c r="I87" s="5"/>
      <c r="J87" s="5"/>
      <c r="K87" s="21" t="s">
        <v>2068</v>
      </c>
      <c r="L87" s="84" t="s">
        <v>6</v>
      </c>
      <c r="M87" s="21" t="s">
        <v>7</v>
      </c>
      <c r="N87" s="75">
        <v>1500</v>
      </c>
      <c r="O87" s="315">
        <v>2100</v>
      </c>
      <c r="P87" s="76">
        <f t="shared" si="7"/>
        <v>3.15</v>
      </c>
      <c r="Q87" s="84"/>
      <c r="R87" s="84"/>
      <c r="S87" s="78">
        <v>23.05</v>
      </c>
      <c r="T87" s="84">
        <v>2.7</v>
      </c>
      <c r="U87" s="76">
        <f t="shared" si="6"/>
        <v>29.585000000000008</v>
      </c>
      <c r="V87" s="84"/>
      <c r="W87" s="84"/>
      <c r="X87" s="84">
        <v>2</v>
      </c>
      <c r="Y87" s="84">
        <v>27.5</v>
      </c>
    </row>
    <row r="88" spans="1:25" s="105" customFormat="1" x14ac:dyDescent="0.25">
      <c r="A88" s="101" t="s">
        <v>160</v>
      </c>
      <c r="B88" s="101" t="s">
        <v>37</v>
      </c>
      <c r="C88" s="104" t="s">
        <v>193</v>
      </c>
      <c r="D88" s="104" t="s">
        <v>153</v>
      </c>
      <c r="E88" s="365">
        <v>5.05</v>
      </c>
      <c r="F88" s="101" t="s">
        <v>4</v>
      </c>
      <c r="G88" s="42" t="s">
        <v>5</v>
      </c>
      <c r="H88" s="133" t="s">
        <v>738</v>
      </c>
      <c r="I88" s="5"/>
      <c r="J88" s="5"/>
      <c r="K88" s="5" t="s">
        <v>2069</v>
      </c>
      <c r="L88" s="95" t="s">
        <v>6</v>
      </c>
      <c r="M88" s="5"/>
      <c r="N88" s="75"/>
      <c r="O88" s="315"/>
      <c r="P88" s="76">
        <v>2.13</v>
      </c>
      <c r="Q88" s="102"/>
      <c r="R88" s="84"/>
      <c r="S88" s="103">
        <v>9</v>
      </c>
      <c r="T88" s="76">
        <v>2.5</v>
      </c>
      <c r="U88" s="76">
        <f>S88*T88-P88-Q88-Y88</f>
        <v>20.37</v>
      </c>
      <c r="V88" s="84"/>
      <c r="W88" s="84"/>
      <c r="X88" s="89">
        <v>4.75</v>
      </c>
      <c r="Y88" s="84"/>
    </row>
    <row r="89" spans="1:25" s="105" customFormat="1" x14ac:dyDescent="0.25">
      <c r="A89" s="101" t="s">
        <v>160</v>
      </c>
      <c r="B89" s="101" t="s">
        <v>37</v>
      </c>
      <c r="C89" s="104" t="s">
        <v>195</v>
      </c>
      <c r="D89" s="104" t="s">
        <v>196</v>
      </c>
      <c r="E89" s="365">
        <v>3.19</v>
      </c>
      <c r="F89" s="101" t="s">
        <v>4</v>
      </c>
      <c r="G89" s="42" t="s">
        <v>5</v>
      </c>
      <c r="H89" s="133" t="s">
        <v>738</v>
      </c>
      <c r="I89" s="5"/>
      <c r="J89" s="5"/>
      <c r="K89" s="5" t="s">
        <v>2069</v>
      </c>
      <c r="L89" s="95" t="s">
        <v>6</v>
      </c>
      <c r="M89" s="5"/>
      <c r="N89" s="75"/>
      <c r="O89" s="315"/>
      <c r="P89" s="76">
        <v>1.56</v>
      </c>
      <c r="Q89" s="102">
        <v>0.61</v>
      </c>
      <c r="R89" s="84"/>
      <c r="S89" s="103">
        <v>7.7200000000000006</v>
      </c>
      <c r="T89" s="76">
        <v>2.8</v>
      </c>
      <c r="U89" s="76">
        <f t="shared" ref="U89:U103" si="8">S89*T89-P89-Q89-X89-Y89</f>
        <v>17.296000000000003</v>
      </c>
      <c r="V89" s="84"/>
      <c r="W89" s="84"/>
      <c r="X89" s="89">
        <v>2.15</v>
      </c>
      <c r="Y89" s="84"/>
    </row>
    <row r="90" spans="1:25" s="105" customFormat="1" x14ac:dyDescent="0.25">
      <c r="A90" s="101" t="s">
        <v>160</v>
      </c>
      <c r="B90" s="101" t="s">
        <v>37</v>
      </c>
      <c r="C90" s="104" t="s">
        <v>197</v>
      </c>
      <c r="D90" s="104" t="s">
        <v>65</v>
      </c>
      <c r="E90" s="365">
        <v>2.16</v>
      </c>
      <c r="F90" s="101" t="s">
        <v>4</v>
      </c>
      <c r="G90" s="42" t="s">
        <v>5</v>
      </c>
      <c r="H90" s="133" t="s">
        <v>738</v>
      </c>
      <c r="I90" s="5"/>
      <c r="J90" s="5"/>
      <c r="K90" s="5" t="s">
        <v>2069</v>
      </c>
      <c r="L90" s="95" t="s">
        <v>6</v>
      </c>
      <c r="M90" s="5"/>
      <c r="N90" s="75"/>
      <c r="O90" s="315"/>
      <c r="P90" s="76">
        <v>1.56</v>
      </c>
      <c r="Q90" s="102"/>
      <c r="R90" s="84"/>
      <c r="S90" s="103">
        <v>7.02</v>
      </c>
      <c r="T90" s="76">
        <v>2.52</v>
      </c>
      <c r="U90" s="76">
        <f t="shared" si="8"/>
        <v>13.990400000000001</v>
      </c>
      <c r="V90" s="84"/>
      <c r="W90" s="84"/>
      <c r="X90" s="89">
        <v>2.14</v>
      </c>
      <c r="Y90" s="84"/>
    </row>
    <row r="91" spans="1:25" s="105" customFormat="1" x14ac:dyDescent="0.25">
      <c r="A91" s="101" t="s">
        <v>160</v>
      </c>
      <c r="B91" s="101" t="s">
        <v>37</v>
      </c>
      <c r="C91" s="104" t="s">
        <v>198</v>
      </c>
      <c r="D91" s="104" t="s">
        <v>62</v>
      </c>
      <c r="E91" s="365">
        <v>1.95</v>
      </c>
      <c r="F91" s="101" t="s">
        <v>4</v>
      </c>
      <c r="G91" s="42" t="s">
        <v>5</v>
      </c>
      <c r="H91" s="133" t="s">
        <v>738</v>
      </c>
      <c r="I91" s="5"/>
      <c r="J91" s="5"/>
      <c r="K91" s="5" t="s">
        <v>2069</v>
      </c>
      <c r="L91" s="95" t="s">
        <v>6</v>
      </c>
      <c r="M91" s="5"/>
      <c r="N91" s="75"/>
      <c r="O91" s="315"/>
      <c r="P91" s="76">
        <v>1.56</v>
      </c>
      <c r="Q91" s="102"/>
      <c r="R91" s="84"/>
      <c r="S91" s="103">
        <v>5.84</v>
      </c>
      <c r="T91" s="76">
        <v>2.52</v>
      </c>
      <c r="U91" s="76">
        <f t="shared" si="8"/>
        <v>11.016799999999998</v>
      </c>
      <c r="V91" s="84"/>
      <c r="W91" s="84"/>
      <c r="X91" s="106">
        <v>2.14</v>
      </c>
      <c r="Y91" s="84"/>
    </row>
    <row r="92" spans="1:25" s="105" customFormat="1" ht="30" x14ac:dyDescent="0.25">
      <c r="A92" s="101" t="s">
        <v>160</v>
      </c>
      <c r="B92" s="101" t="s">
        <v>37</v>
      </c>
      <c r="C92" s="104" t="s">
        <v>199</v>
      </c>
      <c r="D92" s="104" t="s">
        <v>55</v>
      </c>
      <c r="E92" s="365">
        <v>137.96</v>
      </c>
      <c r="F92" s="101" t="s">
        <v>4</v>
      </c>
      <c r="G92" s="42" t="s">
        <v>5</v>
      </c>
      <c r="H92" s="136" t="s">
        <v>738</v>
      </c>
      <c r="I92" s="5"/>
      <c r="J92" s="5"/>
      <c r="K92" s="21" t="s">
        <v>2068</v>
      </c>
      <c r="L92" s="95" t="s">
        <v>10</v>
      </c>
      <c r="M92" s="5"/>
      <c r="N92" s="75"/>
      <c r="O92" s="315"/>
      <c r="P92" s="76"/>
      <c r="Q92" s="102">
        <v>23.8</v>
      </c>
      <c r="R92" s="84"/>
      <c r="S92" s="103">
        <v>111.72</v>
      </c>
      <c r="T92" s="76">
        <v>3.02</v>
      </c>
      <c r="U92" s="76">
        <f t="shared" si="8"/>
        <v>302.23439999999999</v>
      </c>
      <c r="V92" s="84"/>
      <c r="W92" s="84"/>
      <c r="X92" s="89"/>
      <c r="Y92" s="84">
        <v>11.36</v>
      </c>
    </row>
    <row r="93" spans="1:25" s="105" customFormat="1" ht="30" x14ac:dyDescent="0.25">
      <c r="A93" s="5" t="s">
        <v>160</v>
      </c>
      <c r="B93" s="5" t="s">
        <v>74</v>
      </c>
      <c r="C93" s="41" t="s">
        <v>200</v>
      </c>
      <c r="D93" s="41" t="s">
        <v>80</v>
      </c>
      <c r="E93" s="366">
        <v>2.37</v>
      </c>
      <c r="F93" s="5" t="s">
        <v>4</v>
      </c>
      <c r="G93" s="41" t="s">
        <v>5</v>
      </c>
      <c r="H93" s="136" t="s">
        <v>738</v>
      </c>
      <c r="I93" s="5"/>
      <c r="J93" s="5"/>
      <c r="K93" s="21" t="s">
        <v>2068</v>
      </c>
      <c r="L93" s="95" t="s">
        <v>10</v>
      </c>
      <c r="M93" s="5"/>
      <c r="N93" s="75"/>
      <c r="O93" s="315"/>
      <c r="P93" s="76">
        <v>1.56</v>
      </c>
      <c r="Q93" s="76"/>
      <c r="R93" s="84"/>
      <c r="S93" s="103">
        <v>6.26</v>
      </c>
      <c r="T93" s="76">
        <v>3</v>
      </c>
      <c r="U93" s="76">
        <f t="shared" si="8"/>
        <v>17.220000000000002</v>
      </c>
      <c r="V93" s="84"/>
      <c r="W93" s="84"/>
      <c r="X93" s="89"/>
      <c r="Y93" s="84"/>
    </row>
    <row r="94" spans="1:25" s="98" customFormat="1" x14ac:dyDescent="0.25">
      <c r="A94" s="21" t="s">
        <v>160</v>
      </c>
      <c r="B94" s="21" t="s">
        <v>74</v>
      </c>
      <c r="C94" s="41" t="s">
        <v>201</v>
      </c>
      <c r="D94" s="41" t="s">
        <v>62</v>
      </c>
      <c r="E94" s="366">
        <v>3.89</v>
      </c>
      <c r="F94" s="21" t="s">
        <v>4</v>
      </c>
      <c r="G94" s="34" t="s">
        <v>5</v>
      </c>
      <c r="H94" s="136" t="s">
        <v>738</v>
      </c>
      <c r="I94" s="5"/>
      <c r="J94" s="5"/>
      <c r="K94" s="5" t="s">
        <v>2069</v>
      </c>
      <c r="L94" s="90" t="s">
        <v>40</v>
      </c>
      <c r="M94" s="21"/>
      <c r="N94" s="82"/>
      <c r="O94" s="313"/>
      <c r="P94" s="76">
        <v>1.56</v>
      </c>
      <c r="Q94" s="76">
        <v>0.63</v>
      </c>
      <c r="R94" s="84"/>
      <c r="S94" s="103">
        <v>7.92</v>
      </c>
      <c r="T94" s="76">
        <v>3</v>
      </c>
      <c r="U94" s="76">
        <f t="shared" si="8"/>
        <v>4.620000000000001</v>
      </c>
      <c r="V94" s="84"/>
      <c r="W94" s="84"/>
      <c r="X94" s="89">
        <v>16.95</v>
      </c>
      <c r="Y94" s="84"/>
    </row>
    <row r="95" spans="1:25" s="98" customFormat="1" x14ac:dyDescent="0.25">
      <c r="A95" s="5" t="s">
        <v>160</v>
      </c>
      <c r="B95" s="5" t="s">
        <v>74</v>
      </c>
      <c r="C95" s="34" t="s">
        <v>202</v>
      </c>
      <c r="D95" s="34" t="s">
        <v>62</v>
      </c>
      <c r="E95" s="319">
        <v>5.01</v>
      </c>
      <c r="F95" s="5" t="s">
        <v>4</v>
      </c>
      <c r="G95" s="34" t="s">
        <v>5</v>
      </c>
      <c r="H95" s="136" t="s">
        <v>738</v>
      </c>
      <c r="I95" s="5"/>
      <c r="J95" s="5"/>
      <c r="K95" s="5" t="s">
        <v>2069</v>
      </c>
      <c r="L95" s="95" t="s">
        <v>40</v>
      </c>
      <c r="M95" s="21"/>
      <c r="N95" s="75"/>
      <c r="O95" s="315"/>
      <c r="P95" s="76">
        <v>1.94</v>
      </c>
      <c r="Q95" s="76">
        <v>1.26</v>
      </c>
      <c r="R95" s="84"/>
      <c r="S95" s="103">
        <v>9.120000000000001</v>
      </c>
      <c r="T95" s="76">
        <v>3</v>
      </c>
      <c r="U95" s="76">
        <f t="shared" si="8"/>
        <v>2.6400000000000006</v>
      </c>
      <c r="V95" s="84"/>
      <c r="W95" s="84"/>
      <c r="X95" s="89">
        <v>21.52</v>
      </c>
      <c r="Y95" s="84"/>
    </row>
    <row r="96" spans="1:25" s="98" customFormat="1" x14ac:dyDescent="0.25">
      <c r="A96" s="5" t="s">
        <v>160</v>
      </c>
      <c r="B96" s="5" t="s">
        <v>74</v>
      </c>
      <c r="C96" s="34" t="s">
        <v>203</v>
      </c>
      <c r="D96" s="34" t="s">
        <v>62</v>
      </c>
      <c r="E96" s="319">
        <v>3.89</v>
      </c>
      <c r="F96" s="5" t="s">
        <v>4</v>
      </c>
      <c r="G96" s="34" t="s">
        <v>5</v>
      </c>
      <c r="H96" s="136" t="s">
        <v>738</v>
      </c>
      <c r="I96" s="5"/>
      <c r="J96" s="5"/>
      <c r="K96" s="5" t="s">
        <v>2069</v>
      </c>
      <c r="L96" s="95" t="s">
        <v>40</v>
      </c>
      <c r="M96" s="21"/>
      <c r="N96" s="75"/>
      <c r="O96" s="315"/>
      <c r="P96" s="76">
        <v>1.56</v>
      </c>
      <c r="Q96" s="76">
        <v>0.63</v>
      </c>
      <c r="R96" s="84"/>
      <c r="S96" s="103">
        <v>7.92</v>
      </c>
      <c r="T96" s="76">
        <v>3</v>
      </c>
      <c r="U96" s="76">
        <f t="shared" si="8"/>
        <v>4.620000000000001</v>
      </c>
      <c r="V96" s="84"/>
      <c r="W96" s="84"/>
      <c r="X96" s="89">
        <v>16.95</v>
      </c>
      <c r="Y96" s="84"/>
    </row>
    <row r="97" spans="1:78" s="98" customFormat="1" x14ac:dyDescent="0.25">
      <c r="A97" s="5" t="s">
        <v>160</v>
      </c>
      <c r="B97" s="5" t="s">
        <v>74</v>
      </c>
      <c r="C97" s="34" t="s">
        <v>204</v>
      </c>
      <c r="D97" s="34" t="s">
        <v>205</v>
      </c>
      <c r="E97" s="319">
        <v>4.46</v>
      </c>
      <c r="F97" s="5" t="s">
        <v>4</v>
      </c>
      <c r="G97" s="34" t="s">
        <v>5</v>
      </c>
      <c r="H97" s="136" t="s">
        <v>738</v>
      </c>
      <c r="I97" s="5"/>
      <c r="J97" s="5"/>
      <c r="K97" s="5" t="s">
        <v>2069</v>
      </c>
      <c r="L97" s="95" t="s">
        <v>40</v>
      </c>
      <c r="M97" s="21"/>
      <c r="N97" s="75"/>
      <c r="O97" s="315"/>
      <c r="P97" s="76">
        <v>1.56</v>
      </c>
      <c r="Q97" s="76">
        <v>0.63</v>
      </c>
      <c r="R97" s="84"/>
      <c r="S97" s="78">
        <v>8.48</v>
      </c>
      <c r="T97" s="76">
        <v>3</v>
      </c>
      <c r="U97" s="76">
        <f t="shared" si="8"/>
        <v>-5.7099999999999973</v>
      </c>
      <c r="V97" s="84"/>
      <c r="W97" s="84"/>
      <c r="X97" s="89">
        <v>28.96</v>
      </c>
      <c r="Y97" s="84"/>
    </row>
    <row r="98" spans="1:78" s="98" customFormat="1" x14ac:dyDescent="0.25">
      <c r="A98" s="5" t="s">
        <v>160</v>
      </c>
      <c r="B98" s="5" t="s">
        <v>74</v>
      </c>
      <c r="C98" s="34" t="s">
        <v>206</v>
      </c>
      <c r="D98" s="34" t="s">
        <v>65</v>
      </c>
      <c r="E98" s="319">
        <v>0.95</v>
      </c>
      <c r="F98" s="5" t="s">
        <v>4</v>
      </c>
      <c r="G98" s="34" t="s">
        <v>5</v>
      </c>
      <c r="H98" s="136" t="s">
        <v>738</v>
      </c>
      <c r="I98" s="5"/>
      <c r="J98" s="5"/>
      <c r="K98" s="5" t="s">
        <v>2069</v>
      </c>
      <c r="L98" s="95" t="s">
        <v>40</v>
      </c>
      <c r="M98" s="21"/>
      <c r="N98" s="75"/>
      <c r="O98" s="315"/>
      <c r="P98" s="76">
        <v>1.56</v>
      </c>
      <c r="Q98" s="76"/>
      <c r="R98" s="84"/>
      <c r="S98" s="103">
        <v>4.0199999999999996</v>
      </c>
      <c r="T98" s="76">
        <v>3</v>
      </c>
      <c r="U98" s="76">
        <f t="shared" si="8"/>
        <v>1.8599999999999977</v>
      </c>
      <c r="V98" s="84"/>
      <c r="W98" s="84"/>
      <c r="X98" s="89">
        <v>8.64</v>
      </c>
      <c r="Y98" s="84"/>
    </row>
    <row r="99" spans="1:78" s="98" customFormat="1" x14ac:dyDescent="0.25">
      <c r="A99" s="5" t="s">
        <v>160</v>
      </c>
      <c r="B99" s="5" t="s">
        <v>74</v>
      </c>
      <c r="C99" s="34" t="s">
        <v>207</v>
      </c>
      <c r="D99" s="34" t="s">
        <v>46</v>
      </c>
      <c r="E99" s="319">
        <v>4.45</v>
      </c>
      <c r="F99" s="5" t="s">
        <v>4</v>
      </c>
      <c r="G99" s="34" t="s">
        <v>5</v>
      </c>
      <c r="H99" s="136" t="s">
        <v>738</v>
      </c>
      <c r="I99" s="5"/>
      <c r="J99" s="5"/>
      <c r="K99" s="5" t="s">
        <v>2069</v>
      </c>
      <c r="L99" s="95" t="s">
        <v>40</v>
      </c>
      <c r="M99" s="21"/>
      <c r="N99" s="75"/>
      <c r="O99" s="315"/>
      <c r="P99" s="76">
        <v>1.8</v>
      </c>
      <c r="Q99" s="76">
        <v>1.26</v>
      </c>
      <c r="R99" s="84"/>
      <c r="S99" s="103">
        <v>8.7199999999999989</v>
      </c>
      <c r="T99" s="76">
        <v>3</v>
      </c>
      <c r="U99" s="76">
        <f t="shared" si="8"/>
        <v>4.399999999999995</v>
      </c>
      <c r="V99" s="84"/>
      <c r="W99" s="84"/>
      <c r="X99" s="89">
        <v>18.7</v>
      </c>
      <c r="Y99" s="84"/>
    </row>
    <row r="100" spans="1:78" s="98" customFormat="1" x14ac:dyDescent="0.25">
      <c r="A100" s="5" t="s">
        <v>160</v>
      </c>
      <c r="B100" s="5" t="s">
        <v>74</v>
      </c>
      <c r="C100" s="34" t="s">
        <v>208</v>
      </c>
      <c r="D100" s="34" t="s">
        <v>62</v>
      </c>
      <c r="E100" s="319">
        <v>3.55</v>
      </c>
      <c r="F100" s="5" t="s">
        <v>4</v>
      </c>
      <c r="G100" s="34" t="s">
        <v>5</v>
      </c>
      <c r="H100" s="136" t="s">
        <v>738</v>
      </c>
      <c r="I100" s="5"/>
      <c r="J100" s="5"/>
      <c r="K100" s="5" t="s">
        <v>2069</v>
      </c>
      <c r="L100" s="95" t="s">
        <v>40</v>
      </c>
      <c r="M100" s="21"/>
      <c r="N100" s="75"/>
      <c r="O100" s="315"/>
      <c r="P100" s="76">
        <v>1.56</v>
      </c>
      <c r="Q100" s="76">
        <v>0.63</v>
      </c>
      <c r="R100" s="84"/>
      <c r="S100" s="103">
        <v>7.5399999999999991</v>
      </c>
      <c r="T100" s="76">
        <v>3</v>
      </c>
      <c r="U100" s="76">
        <f t="shared" si="8"/>
        <v>4.2300000000000004</v>
      </c>
      <c r="V100" s="84"/>
      <c r="W100" s="84"/>
      <c r="X100" s="89">
        <v>16.2</v>
      </c>
      <c r="Y100" s="84"/>
    </row>
    <row r="101" spans="1:78" s="98" customFormat="1" x14ac:dyDescent="0.25">
      <c r="A101" s="5" t="s">
        <v>160</v>
      </c>
      <c r="B101" s="5" t="s">
        <v>74</v>
      </c>
      <c r="C101" s="34" t="s">
        <v>209</v>
      </c>
      <c r="D101" s="34" t="s">
        <v>62</v>
      </c>
      <c r="E101" s="319">
        <v>3.55</v>
      </c>
      <c r="F101" s="5" t="s">
        <v>4</v>
      </c>
      <c r="G101" s="34" t="s">
        <v>5</v>
      </c>
      <c r="H101" s="136" t="s">
        <v>738</v>
      </c>
      <c r="I101" s="5"/>
      <c r="J101" s="5"/>
      <c r="K101" s="5" t="s">
        <v>2069</v>
      </c>
      <c r="L101" s="95" t="s">
        <v>40</v>
      </c>
      <c r="M101" s="21"/>
      <c r="N101" s="75"/>
      <c r="O101" s="315"/>
      <c r="P101" s="76">
        <v>1.56</v>
      </c>
      <c r="Q101" s="76">
        <v>0.63</v>
      </c>
      <c r="R101" s="84"/>
      <c r="S101" s="103">
        <v>7.54</v>
      </c>
      <c r="T101" s="76">
        <v>3</v>
      </c>
      <c r="U101" s="76">
        <f t="shared" si="8"/>
        <v>4.2600000000000016</v>
      </c>
      <c r="V101" s="84"/>
      <c r="W101" s="84"/>
      <c r="X101" s="89">
        <v>16.170000000000002</v>
      </c>
      <c r="Y101" s="84"/>
    </row>
    <row r="102" spans="1:78" s="98" customFormat="1" ht="30" x14ac:dyDescent="0.25">
      <c r="A102" s="5" t="s">
        <v>160</v>
      </c>
      <c r="B102" s="5" t="s">
        <v>74</v>
      </c>
      <c r="C102" s="34" t="s">
        <v>210</v>
      </c>
      <c r="D102" s="34" t="s">
        <v>211</v>
      </c>
      <c r="E102" s="319">
        <v>58.14</v>
      </c>
      <c r="F102" s="5" t="s">
        <v>4</v>
      </c>
      <c r="G102" s="34" t="s">
        <v>5</v>
      </c>
      <c r="H102" s="134" t="s">
        <v>738</v>
      </c>
      <c r="I102" s="5"/>
      <c r="J102" s="5"/>
      <c r="K102" s="21" t="s">
        <v>2068</v>
      </c>
      <c r="L102" s="95" t="s">
        <v>10</v>
      </c>
      <c r="M102" s="21"/>
      <c r="N102" s="75"/>
      <c r="O102" s="315"/>
      <c r="P102" s="76"/>
      <c r="Q102" s="76">
        <v>7.36</v>
      </c>
      <c r="R102" s="84"/>
      <c r="S102" s="103">
        <v>17.38</v>
      </c>
      <c r="T102" s="76">
        <v>3</v>
      </c>
      <c r="U102" s="76">
        <f t="shared" si="8"/>
        <v>44.78</v>
      </c>
      <c r="V102" s="84"/>
      <c r="W102" s="84"/>
      <c r="X102" s="89"/>
      <c r="Y102" s="84"/>
    </row>
    <row r="103" spans="1:78" s="98" customFormat="1" x14ac:dyDescent="0.25">
      <c r="A103" s="28" t="s">
        <v>160</v>
      </c>
      <c r="B103" s="28" t="s">
        <v>5</v>
      </c>
      <c r="C103" s="43" t="s">
        <v>214</v>
      </c>
      <c r="D103" s="43" t="s">
        <v>80</v>
      </c>
      <c r="E103" s="361">
        <v>1.2</v>
      </c>
      <c r="F103" s="28" t="s">
        <v>4</v>
      </c>
      <c r="G103" s="34" t="s">
        <v>37</v>
      </c>
      <c r="H103" s="134" t="s">
        <v>738</v>
      </c>
      <c r="I103" s="5"/>
      <c r="J103" s="5"/>
      <c r="K103" s="53" t="s">
        <v>2070</v>
      </c>
      <c r="L103" s="95" t="s">
        <v>40</v>
      </c>
      <c r="M103" s="21"/>
      <c r="N103" s="75"/>
      <c r="O103" s="315"/>
      <c r="P103" s="76"/>
      <c r="Q103" s="76"/>
      <c r="R103" s="84"/>
      <c r="S103" s="78">
        <v>3.5</v>
      </c>
      <c r="T103" s="76">
        <v>2.96</v>
      </c>
      <c r="U103" s="84">
        <f t="shared" si="8"/>
        <v>10.36</v>
      </c>
      <c r="V103" s="84"/>
      <c r="W103" s="84"/>
      <c r="X103" s="84"/>
      <c r="Y103" s="84"/>
    </row>
    <row r="104" spans="1:78" s="105" customFormat="1" ht="30" x14ac:dyDescent="0.25">
      <c r="A104" s="28" t="s">
        <v>160</v>
      </c>
      <c r="B104" s="28" t="s">
        <v>5</v>
      </c>
      <c r="C104" s="43" t="s">
        <v>215</v>
      </c>
      <c r="D104" s="43" t="s">
        <v>216</v>
      </c>
      <c r="E104" s="361">
        <v>47.12</v>
      </c>
      <c r="F104" s="28" t="s">
        <v>4</v>
      </c>
      <c r="G104" s="34" t="s">
        <v>77</v>
      </c>
      <c r="H104" s="134" t="s">
        <v>738</v>
      </c>
      <c r="I104" s="5"/>
      <c r="J104" s="5"/>
      <c r="K104" s="21" t="s">
        <v>2068</v>
      </c>
      <c r="L104" s="95" t="s">
        <v>10</v>
      </c>
      <c r="M104" s="5"/>
      <c r="N104" s="75"/>
      <c r="O104" s="75"/>
      <c r="P104" s="76">
        <v>24.43</v>
      </c>
      <c r="Q104" s="76">
        <v>5.16</v>
      </c>
      <c r="R104" s="84"/>
      <c r="S104" s="78">
        <v>30.98</v>
      </c>
      <c r="T104" s="76">
        <v>2.95</v>
      </c>
      <c r="U104" s="84">
        <f>S104*T104-P104-Q104-X104-Y104-Y104</f>
        <v>27.061000000000011</v>
      </c>
      <c r="V104" s="84"/>
      <c r="W104" s="84"/>
      <c r="X104" s="84"/>
      <c r="Y104" s="84">
        <v>17.37</v>
      </c>
    </row>
    <row r="105" spans="1:78" s="105" customFormat="1" ht="30" x14ac:dyDescent="0.25">
      <c r="A105" s="28" t="s">
        <v>160</v>
      </c>
      <c r="B105" s="28" t="s">
        <v>5</v>
      </c>
      <c r="C105" s="43" t="s">
        <v>217</v>
      </c>
      <c r="D105" s="43" t="s">
        <v>87</v>
      </c>
      <c r="E105" s="361">
        <v>24</v>
      </c>
      <c r="F105" s="28" t="s">
        <v>4</v>
      </c>
      <c r="G105" s="34" t="s">
        <v>77</v>
      </c>
      <c r="H105" s="134" t="s">
        <v>738</v>
      </c>
      <c r="I105" s="5"/>
      <c r="J105" s="5"/>
      <c r="K105" s="21" t="s">
        <v>2068</v>
      </c>
      <c r="L105" s="95" t="s">
        <v>218</v>
      </c>
      <c r="M105" s="5"/>
      <c r="N105" s="75"/>
      <c r="O105" s="75"/>
      <c r="P105" s="76"/>
      <c r="Q105" s="76"/>
      <c r="R105" s="84"/>
      <c r="S105" s="127">
        <v>22</v>
      </c>
      <c r="T105" s="84">
        <v>3.4</v>
      </c>
      <c r="U105" s="84">
        <f>S105*T105-P105-Q105-X105-Y105</f>
        <v>74.8</v>
      </c>
      <c r="V105" s="84"/>
      <c r="W105" s="84"/>
      <c r="X105" s="84"/>
      <c r="Y105" s="84"/>
    </row>
    <row r="106" spans="1:78" s="98" customFormat="1" ht="30" x14ac:dyDescent="0.25">
      <c r="A106" s="83" t="s">
        <v>160</v>
      </c>
      <c r="B106" s="83" t="s">
        <v>37</v>
      </c>
      <c r="C106" s="104" t="s">
        <v>225</v>
      </c>
      <c r="D106" s="104" t="s">
        <v>211</v>
      </c>
      <c r="E106" s="365">
        <v>45.7</v>
      </c>
      <c r="F106" s="83" t="s">
        <v>4</v>
      </c>
      <c r="G106" s="41" t="s">
        <v>77</v>
      </c>
      <c r="H106" s="136" t="s">
        <v>738</v>
      </c>
      <c r="I106" s="5"/>
      <c r="J106" s="62"/>
      <c r="K106" s="21" t="s">
        <v>2068</v>
      </c>
      <c r="L106" s="74" t="s">
        <v>10</v>
      </c>
      <c r="M106" s="5"/>
      <c r="N106" s="75"/>
      <c r="O106" s="315"/>
      <c r="P106" s="76"/>
      <c r="Q106" s="76">
        <v>10.17</v>
      </c>
      <c r="R106" s="84"/>
      <c r="S106" s="103">
        <v>27.52</v>
      </c>
      <c r="T106" s="76">
        <v>2.99</v>
      </c>
      <c r="U106" s="76">
        <f>S106*T106-P106-Q106-X106-Y106</f>
        <v>72.114800000000002</v>
      </c>
      <c r="V106" s="84"/>
      <c r="W106" s="84"/>
      <c r="X106" s="89"/>
      <c r="Y106" s="84"/>
    </row>
    <row r="107" spans="1:78" s="98" customFormat="1" ht="30" x14ac:dyDescent="0.25">
      <c r="A107" s="83" t="s">
        <v>160</v>
      </c>
      <c r="B107" s="83" t="s">
        <v>37</v>
      </c>
      <c r="C107" s="104" t="s">
        <v>226</v>
      </c>
      <c r="D107" s="104" t="s">
        <v>83</v>
      </c>
      <c r="E107" s="365">
        <v>9.2899999999999991</v>
      </c>
      <c r="F107" s="83" t="s">
        <v>4</v>
      </c>
      <c r="G107" s="21" t="s">
        <v>77</v>
      </c>
      <c r="H107" s="133" t="s">
        <v>738</v>
      </c>
      <c r="I107" s="5"/>
      <c r="J107" s="62"/>
      <c r="K107" s="21" t="s">
        <v>2068</v>
      </c>
      <c r="L107" s="74" t="s">
        <v>10</v>
      </c>
      <c r="M107" s="5"/>
      <c r="N107" s="75"/>
      <c r="O107" s="315"/>
      <c r="P107" s="76">
        <v>4.41</v>
      </c>
      <c r="Q107" s="76">
        <v>21.98</v>
      </c>
      <c r="R107" s="84"/>
      <c r="S107" s="78">
        <v>12.02</v>
      </c>
      <c r="T107" s="76">
        <v>3</v>
      </c>
      <c r="U107" s="76">
        <f>S107*T107-P107-Q107-X107-Y107</f>
        <v>9.6700000000000017</v>
      </c>
      <c r="V107" s="84"/>
      <c r="W107" s="84"/>
      <c r="X107" s="89"/>
      <c r="Y107" s="84"/>
    </row>
    <row r="108" spans="1:78" s="128" customFormat="1" ht="30" x14ac:dyDescent="0.25">
      <c r="A108" s="114" t="s">
        <v>160</v>
      </c>
      <c r="B108" s="114" t="s">
        <v>37</v>
      </c>
      <c r="C108" s="217" t="s">
        <v>227</v>
      </c>
      <c r="D108" s="217" t="s">
        <v>87</v>
      </c>
      <c r="E108" s="367">
        <v>33.25</v>
      </c>
      <c r="F108" s="114" t="s">
        <v>4</v>
      </c>
      <c r="G108" s="53" t="s">
        <v>77</v>
      </c>
      <c r="H108" s="478" t="s">
        <v>738</v>
      </c>
      <c r="I108" s="114"/>
      <c r="J108" s="62"/>
      <c r="K108" s="21" t="s">
        <v>2068</v>
      </c>
      <c r="L108" s="129" t="s">
        <v>218</v>
      </c>
      <c r="M108" s="53"/>
      <c r="N108" s="125"/>
      <c r="O108" s="125"/>
      <c r="P108" s="102"/>
      <c r="Q108" s="102"/>
      <c r="R108" s="126"/>
      <c r="S108" s="127"/>
      <c r="T108" s="102">
        <v>3</v>
      </c>
      <c r="U108" s="102">
        <f>S108*T108-P108-Q108-X108-Y108</f>
        <v>0</v>
      </c>
      <c r="V108" s="126"/>
      <c r="W108" s="126"/>
      <c r="X108" s="106"/>
      <c r="Y108" s="126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</row>
    <row r="109" spans="1:78" s="65" customFormat="1" x14ac:dyDescent="0.25">
      <c r="A109" s="87" t="s">
        <v>230</v>
      </c>
      <c r="B109" s="87" t="s">
        <v>1</v>
      </c>
      <c r="C109" s="88" t="s">
        <v>231</v>
      </c>
      <c r="D109" s="87" t="s">
        <v>149</v>
      </c>
      <c r="E109" s="78">
        <v>2.4</v>
      </c>
      <c r="F109" s="87" t="s">
        <v>4</v>
      </c>
      <c r="G109" s="21" t="s">
        <v>5</v>
      </c>
      <c r="H109" s="491" t="s">
        <v>738</v>
      </c>
      <c r="I109" s="5"/>
      <c r="J109" s="5"/>
      <c r="K109" s="5" t="s">
        <v>2069</v>
      </c>
      <c r="L109" s="84" t="s">
        <v>81</v>
      </c>
      <c r="M109" s="79" t="s">
        <v>7</v>
      </c>
      <c r="N109" s="82">
        <v>750</v>
      </c>
      <c r="O109" s="313">
        <v>2100</v>
      </c>
      <c r="P109" s="76">
        <f t="shared" ref="P109:P118" si="9">N109*O109*0.000001</f>
        <v>1.575</v>
      </c>
      <c r="Q109" s="84"/>
      <c r="R109" s="84"/>
      <c r="S109" s="84">
        <v>6.66</v>
      </c>
      <c r="T109" s="84">
        <v>2.6</v>
      </c>
      <c r="U109" s="84"/>
      <c r="V109" s="84"/>
      <c r="W109" s="84"/>
      <c r="X109" s="89">
        <f>S109*T109-P109-Q109-Y109</f>
        <v>15.741000000000003</v>
      </c>
      <c r="Y109" s="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</row>
    <row r="110" spans="1:78" s="65" customFormat="1" x14ac:dyDescent="0.25">
      <c r="A110" s="87" t="s">
        <v>230</v>
      </c>
      <c r="B110" s="87" t="s">
        <v>1</v>
      </c>
      <c r="C110" s="88" t="s">
        <v>231</v>
      </c>
      <c r="D110" s="87" t="s">
        <v>52</v>
      </c>
      <c r="E110" s="78">
        <v>4.5999999999999996</v>
      </c>
      <c r="F110" s="87" t="s">
        <v>4</v>
      </c>
      <c r="G110" s="21" t="s">
        <v>5</v>
      </c>
      <c r="H110" s="491" t="s">
        <v>738</v>
      </c>
      <c r="I110" s="5"/>
      <c r="J110" s="5"/>
      <c r="K110" s="5" t="s">
        <v>2069</v>
      </c>
      <c r="L110" s="84" t="s">
        <v>6</v>
      </c>
      <c r="M110" s="79" t="s">
        <v>7</v>
      </c>
      <c r="N110" s="82">
        <v>1800</v>
      </c>
      <c r="O110" s="313">
        <v>2100</v>
      </c>
      <c r="P110" s="76">
        <f t="shared" si="9"/>
        <v>3.78</v>
      </c>
      <c r="Q110" s="84"/>
      <c r="R110" s="84"/>
      <c r="S110" s="84">
        <v>10.119999999999999</v>
      </c>
      <c r="T110" s="84">
        <v>2.6</v>
      </c>
      <c r="U110" s="76">
        <f t="shared" ref="U110:U118" si="10">S110*T110-P110-Q110-X110-Y110</f>
        <v>5.0599999999999987</v>
      </c>
      <c r="V110" s="84"/>
      <c r="W110" s="84"/>
      <c r="X110" s="84">
        <f t="shared" ref="X110:X117" si="11">(S110-N110/1000)*2.1</f>
        <v>17.471999999999998</v>
      </c>
      <c r="Y110" s="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</row>
    <row r="111" spans="1:78" s="65" customFormat="1" x14ac:dyDescent="0.25">
      <c r="A111" s="87" t="s">
        <v>230</v>
      </c>
      <c r="B111" s="87" t="s">
        <v>1</v>
      </c>
      <c r="C111" s="88" t="s">
        <v>232</v>
      </c>
      <c r="D111" s="87" t="s">
        <v>233</v>
      </c>
      <c r="E111" s="78">
        <v>4.3</v>
      </c>
      <c r="F111" s="87" t="s">
        <v>4</v>
      </c>
      <c r="G111" s="21" t="s">
        <v>5</v>
      </c>
      <c r="H111" s="491" t="s">
        <v>738</v>
      </c>
      <c r="I111" s="5"/>
      <c r="J111" s="5"/>
      <c r="K111" s="5" t="s">
        <v>2069</v>
      </c>
      <c r="L111" s="84" t="s">
        <v>6</v>
      </c>
      <c r="M111" s="79" t="s">
        <v>7</v>
      </c>
      <c r="N111" s="82">
        <v>2400</v>
      </c>
      <c r="O111" s="313">
        <v>2100</v>
      </c>
      <c r="P111" s="76">
        <f t="shared" si="9"/>
        <v>5.04</v>
      </c>
      <c r="Q111" s="84"/>
      <c r="R111" s="84"/>
      <c r="S111" s="84">
        <v>9.7200000000000006</v>
      </c>
      <c r="T111" s="84">
        <v>2.6</v>
      </c>
      <c r="U111" s="76">
        <f t="shared" si="10"/>
        <v>4.8600000000000012</v>
      </c>
      <c r="V111" s="84"/>
      <c r="W111" s="84"/>
      <c r="X111" s="84">
        <f t="shared" si="11"/>
        <v>15.372000000000002</v>
      </c>
      <c r="Y111" s="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</row>
    <row r="112" spans="1:78" s="65" customFormat="1" x14ac:dyDescent="0.25">
      <c r="A112" s="87" t="s">
        <v>230</v>
      </c>
      <c r="B112" s="87" t="s">
        <v>1</v>
      </c>
      <c r="C112" s="88" t="s">
        <v>234</v>
      </c>
      <c r="D112" s="87" t="s">
        <v>65</v>
      </c>
      <c r="E112" s="78">
        <v>1.4</v>
      </c>
      <c r="F112" s="87" t="s">
        <v>4</v>
      </c>
      <c r="G112" s="21" t="s">
        <v>5</v>
      </c>
      <c r="H112" s="491" t="s">
        <v>738</v>
      </c>
      <c r="I112" s="5"/>
      <c r="J112" s="5"/>
      <c r="K112" s="5" t="s">
        <v>2069</v>
      </c>
      <c r="L112" s="84" t="s">
        <v>6</v>
      </c>
      <c r="M112" s="79" t="s">
        <v>7</v>
      </c>
      <c r="N112" s="82">
        <v>750</v>
      </c>
      <c r="O112" s="313">
        <v>2100</v>
      </c>
      <c r="P112" s="76">
        <f t="shared" si="9"/>
        <v>1.575</v>
      </c>
      <c r="Q112" s="84"/>
      <c r="R112" s="84"/>
      <c r="S112" s="84">
        <v>4.75</v>
      </c>
      <c r="T112" s="84">
        <v>2.6</v>
      </c>
      <c r="U112" s="76">
        <f t="shared" si="10"/>
        <v>2.375</v>
      </c>
      <c r="V112" s="84"/>
      <c r="W112" s="84"/>
      <c r="X112" s="84">
        <f t="shared" si="11"/>
        <v>8.4</v>
      </c>
      <c r="Y112" s="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</row>
    <row r="113" spans="1:78" s="65" customFormat="1" x14ac:dyDescent="0.25">
      <c r="A113" s="87" t="s">
        <v>230</v>
      </c>
      <c r="B113" s="87" t="s">
        <v>1</v>
      </c>
      <c r="C113" s="88" t="s">
        <v>235</v>
      </c>
      <c r="D113" s="87" t="s">
        <v>65</v>
      </c>
      <c r="E113" s="78">
        <v>1.8</v>
      </c>
      <c r="F113" s="87" t="s">
        <v>4</v>
      </c>
      <c r="G113" s="21" t="s">
        <v>5</v>
      </c>
      <c r="H113" s="491" t="s">
        <v>738</v>
      </c>
      <c r="I113" s="5"/>
      <c r="J113" s="5"/>
      <c r="K113" s="5" t="s">
        <v>2069</v>
      </c>
      <c r="L113" s="84" t="s">
        <v>6</v>
      </c>
      <c r="M113" s="79" t="s">
        <v>7</v>
      </c>
      <c r="N113" s="82">
        <v>750</v>
      </c>
      <c r="O113" s="313">
        <v>2100</v>
      </c>
      <c r="P113" s="76">
        <f t="shared" si="9"/>
        <v>1.575</v>
      </c>
      <c r="Q113" s="84"/>
      <c r="R113" s="84"/>
      <c r="S113" s="84">
        <v>5.59</v>
      </c>
      <c r="T113" s="84">
        <v>2.6</v>
      </c>
      <c r="U113" s="76">
        <f t="shared" si="10"/>
        <v>2.7950000000000017</v>
      </c>
      <c r="V113" s="84"/>
      <c r="W113" s="84"/>
      <c r="X113" s="84">
        <f t="shared" si="11"/>
        <v>10.164</v>
      </c>
      <c r="Y113" s="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</row>
    <row r="114" spans="1:78" s="65" customFormat="1" x14ac:dyDescent="0.25">
      <c r="A114" s="87" t="s">
        <v>230</v>
      </c>
      <c r="B114" s="87" t="s">
        <v>1</v>
      </c>
      <c r="C114" s="88" t="s">
        <v>236</v>
      </c>
      <c r="D114" s="87" t="s">
        <v>46</v>
      </c>
      <c r="E114" s="78">
        <v>5.4</v>
      </c>
      <c r="F114" s="87" t="s">
        <v>4</v>
      </c>
      <c r="G114" s="21" t="s">
        <v>5</v>
      </c>
      <c r="H114" s="491" t="s">
        <v>738</v>
      </c>
      <c r="I114" s="5"/>
      <c r="J114" s="5"/>
      <c r="K114" s="5" t="s">
        <v>2069</v>
      </c>
      <c r="L114" s="84" t="s">
        <v>6</v>
      </c>
      <c r="M114" s="79" t="s">
        <v>7</v>
      </c>
      <c r="N114" s="82">
        <v>3450</v>
      </c>
      <c r="O114" s="313">
        <v>2100</v>
      </c>
      <c r="P114" s="76">
        <f t="shared" si="9"/>
        <v>7.2450000000000001</v>
      </c>
      <c r="Q114" s="84"/>
      <c r="R114" s="84"/>
      <c r="S114" s="84">
        <v>12.83</v>
      </c>
      <c r="T114" s="84">
        <v>2.6</v>
      </c>
      <c r="U114" s="76">
        <f t="shared" si="10"/>
        <v>6.4150000000000027</v>
      </c>
      <c r="V114" s="84"/>
      <c r="W114" s="84"/>
      <c r="X114" s="84">
        <f t="shared" si="11"/>
        <v>19.698</v>
      </c>
      <c r="Y114" s="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</row>
    <row r="115" spans="1:78" s="65" customFormat="1" x14ac:dyDescent="0.25">
      <c r="A115" s="87" t="s">
        <v>230</v>
      </c>
      <c r="B115" s="87" t="s">
        <v>1</v>
      </c>
      <c r="C115" s="88" t="s">
        <v>237</v>
      </c>
      <c r="D115" s="87" t="s">
        <v>65</v>
      </c>
      <c r="E115" s="78">
        <v>1.5</v>
      </c>
      <c r="F115" s="87" t="s">
        <v>4</v>
      </c>
      <c r="G115" s="21" t="s">
        <v>5</v>
      </c>
      <c r="H115" s="491" t="s">
        <v>738</v>
      </c>
      <c r="I115" s="5"/>
      <c r="J115" s="5"/>
      <c r="K115" s="5" t="s">
        <v>2069</v>
      </c>
      <c r="L115" s="84" t="s">
        <v>6</v>
      </c>
      <c r="M115" s="79" t="s">
        <v>7</v>
      </c>
      <c r="N115" s="82">
        <v>900</v>
      </c>
      <c r="O115" s="313">
        <v>2100</v>
      </c>
      <c r="P115" s="76">
        <f t="shared" si="9"/>
        <v>1.89</v>
      </c>
      <c r="Q115" s="84"/>
      <c r="R115" s="84"/>
      <c r="S115" s="84">
        <v>1.43</v>
      </c>
      <c r="T115" s="84">
        <v>2.6</v>
      </c>
      <c r="U115" s="76">
        <f t="shared" si="10"/>
        <v>0.7150000000000003</v>
      </c>
      <c r="V115" s="84"/>
      <c r="W115" s="84"/>
      <c r="X115" s="84">
        <f t="shared" si="11"/>
        <v>1.1129999999999998</v>
      </c>
      <c r="Y115" s="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</row>
    <row r="116" spans="1:78" s="65" customFormat="1" x14ac:dyDescent="0.25">
      <c r="A116" s="87" t="s">
        <v>230</v>
      </c>
      <c r="B116" s="87" t="s">
        <v>1</v>
      </c>
      <c r="C116" s="88" t="s">
        <v>238</v>
      </c>
      <c r="D116" s="87" t="s">
        <v>65</v>
      </c>
      <c r="E116" s="78">
        <v>1.5</v>
      </c>
      <c r="F116" s="87" t="s">
        <v>4</v>
      </c>
      <c r="G116" s="21" t="s">
        <v>5</v>
      </c>
      <c r="H116" s="491" t="s">
        <v>738</v>
      </c>
      <c r="I116" s="5"/>
      <c r="J116" s="5"/>
      <c r="K116" s="5" t="s">
        <v>2069</v>
      </c>
      <c r="L116" s="84" t="s">
        <v>6</v>
      </c>
      <c r="M116" s="79" t="s">
        <v>7</v>
      </c>
      <c r="N116" s="82">
        <v>900</v>
      </c>
      <c r="O116" s="313">
        <v>2100</v>
      </c>
      <c r="P116" s="76">
        <f t="shared" si="9"/>
        <v>1.89</v>
      </c>
      <c r="Q116" s="84"/>
      <c r="R116" s="84"/>
      <c r="S116" s="84">
        <v>1.42</v>
      </c>
      <c r="T116" s="84">
        <v>2.6</v>
      </c>
      <c r="U116" s="76">
        <f t="shared" si="10"/>
        <v>0.71</v>
      </c>
      <c r="V116" s="84"/>
      <c r="W116" s="84"/>
      <c r="X116" s="84">
        <f t="shared" si="11"/>
        <v>1.0919999999999999</v>
      </c>
      <c r="Y116" s="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</row>
    <row r="117" spans="1:78" s="65" customFormat="1" x14ac:dyDescent="0.25">
      <c r="A117" s="87" t="s">
        <v>230</v>
      </c>
      <c r="B117" s="87" t="s">
        <v>1</v>
      </c>
      <c r="C117" s="88" t="s">
        <v>239</v>
      </c>
      <c r="D117" s="87" t="s">
        <v>65</v>
      </c>
      <c r="E117" s="78">
        <v>1.2</v>
      </c>
      <c r="F117" s="87" t="s">
        <v>4</v>
      </c>
      <c r="G117" s="21" t="s">
        <v>5</v>
      </c>
      <c r="H117" s="491" t="s">
        <v>738</v>
      </c>
      <c r="I117" s="5"/>
      <c r="J117" s="5"/>
      <c r="K117" s="5" t="s">
        <v>2069</v>
      </c>
      <c r="L117" s="84" t="s">
        <v>6</v>
      </c>
      <c r="M117" s="79" t="s">
        <v>7</v>
      </c>
      <c r="N117" s="82">
        <v>750</v>
      </c>
      <c r="O117" s="313">
        <v>2100</v>
      </c>
      <c r="P117" s="76">
        <f t="shared" si="9"/>
        <v>1.575</v>
      </c>
      <c r="Q117" s="84"/>
      <c r="R117" s="84"/>
      <c r="S117" s="84">
        <v>4.41</v>
      </c>
      <c r="T117" s="84">
        <v>2.6</v>
      </c>
      <c r="U117" s="76">
        <f t="shared" si="10"/>
        <v>2.205000000000001</v>
      </c>
      <c r="V117" s="84"/>
      <c r="W117" s="84"/>
      <c r="X117" s="84">
        <f t="shared" si="11"/>
        <v>7.6860000000000008</v>
      </c>
      <c r="Y117" s="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</row>
    <row r="118" spans="1:78" s="65" customFormat="1" x14ac:dyDescent="0.25">
      <c r="A118" s="87" t="s">
        <v>230</v>
      </c>
      <c r="B118" s="87" t="s">
        <v>1</v>
      </c>
      <c r="C118" s="88" t="s">
        <v>240</v>
      </c>
      <c r="D118" s="87" t="s">
        <v>241</v>
      </c>
      <c r="E118" s="78">
        <v>135.80000000000001</v>
      </c>
      <c r="F118" s="87" t="s">
        <v>4</v>
      </c>
      <c r="G118" s="21" t="s">
        <v>5</v>
      </c>
      <c r="H118" s="133" t="s">
        <v>738</v>
      </c>
      <c r="I118" s="5"/>
      <c r="J118" s="5"/>
      <c r="K118" s="53" t="s">
        <v>2070</v>
      </c>
      <c r="L118" s="84" t="s">
        <v>6</v>
      </c>
      <c r="M118" s="90" t="s">
        <v>7</v>
      </c>
      <c r="N118" s="82">
        <v>16600</v>
      </c>
      <c r="O118" s="313">
        <v>2100</v>
      </c>
      <c r="P118" s="76">
        <f t="shared" si="9"/>
        <v>34.86</v>
      </c>
      <c r="Q118" s="84"/>
      <c r="R118" s="84"/>
      <c r="S118" s="84">
        <v>46.25</v>
      </c>
      <c r="T118" s="84">
        <v>3</v>
      </c>
      <c r="U118" s="76">
        <f t="shared" si="10"/>
        <v>76.92</v>
      </c>
      <c r="V118" s="84"/>
      <c r="W118" s="84"/>
      <c r="X118" s="84">
        <v>14.55</v>
      </c>
      <c r="Y118" s="84">
        <v>12.42</v>
      </c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</row>
    <row r="119" spans="1:78" s="65" customFormat="1" x14ac:dyDescent="0.25">
      <c r="A119" s="5" t="s">
        <v>230</v>
      </c>
      <c r="B119" s="5" t="s">
        <v>1</v>
      </c>
      <c r="C119" s="34" t="s">
        <v>242</v>
      </c>
      <c r="D119" s="34" t="s">
        <v>65</v>
      </c>
      <c r="E119" s="319">
        <v>4.8</v>
      </c>
      <c r="F119" s="5" t="s">
        <v>4</v>
      </c>
      <c r="G119" s="41" t="s">
        <v>5</v>
      </c>
      <c r="H119" s="133" t="s">
        <v>738</v>
      </c>
      <c r="I119" s="5"/>
      <c r="J119" s="5"/>
      <c r="K119" s="5" t="s">
        <v>2069</v>
      </c>
      <c r="L119" s="34" t="s">
        <v>40</v>
      </c>
      <c r="M119" s="79"/>
      <c r="N119" s="82"/>
      <c r="O119" s="313"/>
      <c r="P119" s="76">
        <v>1.42</v>
      </c>
      <c r="Q119" s="84"/>
      <c r="R119" s="84"/>
      <c r="S119" s="84">
        <v>10.56</v>
      </c>
      <c r="T119" s="76">
        <v>2.4900000000000002</v>
      </c>
      <c r="U119" s="76"/>
      <c r="V119" s="84"/>
      <c r="W119" s="84"/>
      <c r="X119" s="84">
        <v>26.3</v>
      </c>
      <c r="Y119" s="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</row>
    <row r="120" spans="1:78" s="65" customFormat="1" ht="30" x14ac:dyDescent="0.25">
      <c r="A120" s="5" t="s">
        <v>230</v>
      </c>
      <c r="B120" s="5" t="s">
        <v>37</v>
      </c>
      <c r="C120" s="34" t="s">
        <v>243</v>
      </c>
      <c r="D120" s="34" t="s">
        <v>244</v>
      </c>
      <c r="E120" s="319">
        <v>6.9</v>
      </c>
      <c r="F120" s="5" t="s">
        <v>4</v>
      </c>
      <c r="G120" s="41" t="s">
        <v>5</v>
      </c>
      <c r="H120" s="136" t="s">
        <v>738</v>
      </c>
      <c r="I120" s="5"/>
      <c r="J120" s="5"/>
      <c r="K120" s="21" t="s">
        <v>2068</v>
      </c>
      <c r="L120" s="34" t="s">
        <v>40</v>
      </c>
      <c r="M120" s="79"/>
      <c r="N120" s="82"/>
      <c r="O120" s="313"/>
      <c r="P120" s="76">
        <v>1.69</v>
      </c>
      <c r="Q120" s="84"/>
      <c r="R120" s="84"/>
      <c r="S120" s="84">
        <v>10.52</v>
      </c>
      <c r="T120" s="76">
        <v>2.56</v>
      </c>
      <c r="U120" s="76"/>
      <c r="V120" s="84"/>
      <c r="W120" s="84"/>
      <c r="X120" s="84"/>
      <c r="Y120" s="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</row>
    <row r="121" spans="1:78" s="65" customFormat="1" x14ac:dyDescent="0.25">
      <c r="A121" s="5" t="s">
        <v>230</v>
      </c>
      <c r="B121" s="5" t="s">
        <v>37</v>
      </c>
      <c r="C121" s="34" t="s">
        <v>245</v>
      </c>
      <c r="D121" s="34" t="s">
        <v>246</v>
      </c>
      <c r="E121" s="319">
        <v>1.4</v>
      </c>
      <c r="F121" s="5" t="s">
        <v>4</v>
      </c>
      <c r="G121" s="41" t="s">
        <v>5</v>
      </c>
      <c r="H121" s="136" t="s">
        <v>738</v>
      </c>
      <c r="I121" s="5"/>
      <c r="J121" s="5"/>
      <c r="K121" s="5" t="s">
        <v>2069</v>
      </c>
      <c r="L121" s="34" t="s">
        <v>40</v>
      </c>
      <c r="M121" s="79"/>
      <c r="N121" s="82"/>
      <c r="O121" s="313"/>
      <c r="P121" s="76">
        <v>1.42</v>
      </c>
      <c r="Q121" s="84"/>
      <c r="R121" s="84"/>
      <c r="S121" s="84">
        <v>4.0999999999999996</v>
      </c>
      <c r="T121" s="76">
        <v>2.58</v>
      </c>
      <c r="U121" s="76"/>
      <c r="V121" s="84"/>
      <c r="W121" s="84"/>
      <c r="X121" s="84">
        <v>10.58</v>
      </c>
      <c r="Y121" s="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</row>
    <row r="122" spans="1:78" s="65" customFormat="1" x14ac:dyDescent="0.25">
      <c r="A122" s="5" t="s">
        <v>230</v>
      </c>
      <c r="B122" s="5" t="s">
        <v>37</v>
      </c>
      <c r="C122" s="34" t="s">
        <v>247</v>
      </c>
      <c r="D122" s="34" t="s">
        <v>65</v>
      </c>
      <c r="E122" s="319">
        <v>0.92</v>
      </c>
      <c r="F122" s="5" t="s">
        <v>4</v>
      </c>
      <c r="G122" s="41" t="s">
        <v>5</v>
      </c>
      <c r="H122" s="136" t="s">
        <v>738</v>
      </c>
      <c r="I122" s="5"/>
      <c r="J122" s="5"/>
      <c r="K122" s="5" t="s">
        <v>2069</v>
      </c>
      <c r="L122" s="34" t="s">
        <v>40</v>
      </c>
      <c r="M122" s="79"/>
      <c r="N122" s="82"/>
      <c r="O122" s="313"/>
      <c r="P122" s="76"/>
      <c r="Q122" s="84"/>
      <c r="R122" s="84"/>
      <c r="S122" s="84">
        <v>3.88</v>
      </c>
      <c r="T122" s="76">
        <v>2.58</v>
      </c>
      <c r="U122" s="76"/>
      <c r="V122" s="84"/>
      <c r="W122" s="84"/>
      <c r="X122" s="84">
        <v>10</v>
      </c>
      <c r="Y122" s="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</row>
    <row r="123" spans="1:78" s="65" customFormat="1" x14ac:dyDescent="0.25">
      <c r="A123" s="5" t="s">
        <v>230</v>
      </c>
      <c r="B123" s="5" t="s">
        <v>37</v>
      </c>
      <c r="C123" s="34" t="s">
        <v>248</v>
      </c>
      <c r="D123" s="34" t="s">
        <v>65</v>
      </c>
      <c r="E123" s="319">
        <v>0.92</v>
      </c>
      <c r="F123" s="5" t="s">
        <v>4</v>
      </c>
      <c r="G123" s="41" t="s">
        <v>5</v>
      </c>
      <c r="H123" s="136" t="s">
        <v>738</v>
      </c>
      <c r="I123" s="5"/>
      <c r="J123" s="5"/>
      <c r="K123" s="5" t="s">
        <v>2069</v>
      </c>
      <c r="L123" s="34" t="s">
        <v>40</v>
      </c>
      <c r="M123" s="79"/>
      <c r="N123" s="82"/>
      <c r="O123" s="313"/>
      <c r="P123" s="76"/>
      <c r="Q123" s="84"/>
      <c r="R123" s="84"/>
      <c r="S123" s="84">
        <v>3.88</v>
      </c>
      <c r="T123" s="76">
        <v>2.58</v>
      </c>
      <c r="U123" s="76"/>
      <c r="V123" s="84"/>
      <c r="W123" s="84"/>
      <c r="X123" s="84">
        <v>10</v>
      </c>
      <c r="Y123" s="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</row>
    <row r="124" spans="1:78" s="65" customFormat="1" x14ac:dyDescent="0.25">
      <c r="A124" s="5" t="s">
        <v>230</v>
      </c>
      <c r="B124" s="5" t="s">
        <v>37</v>
      </c>
      <c r="C124" s="34" t="s">
        <v>249</v>
      </c>
      <c r="D124" s="34" t="s">
        <v>3</v>
      </c>
      <c r="E124" s="319">
        <v>9.6</v>
      </c>
      <c r="F124" s="5" t="s">
        <v>4</v>
      </c>
      <c r="G124" s="41" t="s">
        <v>5</v>
      </c>
      <c r="H124" s="136" t="s">
        <v>738</v>
      </c>
      <c r="I124" s="5"/>
      <c r="J124" s="5"/>
      <c r="K124" s="5" t="s">
        <v>2069</v>
      </c>
      <c r="L124" s="34" t="s">
        <v>40</v>
      </c>
      <c r="M124" s="79"/>
      <c r="N124" s="82"/>
      <c r="O124" s="313"/>
      <c r="P124" s="76">
        <v>1.69</v>
      </c>
      <c r="Q124" s="84"/>
      <c r="R124" s="84"/>
      <c r="S124" s="84">
        <v>9.8800000000000008</v>
      </c>
      <c r="T124" s="76">
        <v>2.58</v>
      </c>
      <c r="U124" s="76"/>
      <c r="V124" s="84"/>
      <c r="W124" s="84"/>
      <c r="X124" s="84">
        <v>25.5</v>
      </c>
      <c r="Y124" s="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</row>
    <row r="125" spans="1:78" s="65" customFormat="1" ht="30" x14ac:dyDescent="0.25">
      <c r="A125" s="5" t="s">
        <v>230</v>
      </c>
      <c r="B125" s="5" t="s">
        <v>37</v>
      </c>
      <c r="C125" s="34" t="s">
        <v>250</v>
      </c>
      <c r="D125" s="34" t="s">
        <v>55</v>
      </c>
      <c r="E125" s="319">
        <v>96.73</v>
      </c>
      <c r="F125" s="5" t="s">
        <v>4</v>
      </c>
      <c r="G125" s="41" t="s">
        <v>5</v>
      </c>
      <c r="H125" s="136" t="s">
        <v>738</v>
      </c>
      <c r="I125" s="5"/>
      <c r="J125" s="5"/>
      <c r="K125" s="21" t="s">
        <v>2068</v>
      </c>
      <c r="L125" s="34" t="s">
        <v>10</v>
      </c>
      <c r="M125" s="84"/>
      <c r="N125" s="75"/>
      <c r="O125" s="315"/>
      <c r="P125" s="76"/>
      <c r="Q125" s="84"/>
      <c r="R125" s="84"/>
      <c r="S125" s="84">
        <v>52.28</v>
      </c>
      <c r="T125" s="76">
        <v>2.96</v>
      </c>
      <c r="U125" s="76"/>
      <c r="V125" s="84"/>
      <c r="W125" s="84"/>
      <c r="X125" s="84"/>
      <c r="Y125" s="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</row>
    <row r="126" spans="1:78" s="65" customFormat="1" ht="30" x14ac:dyDescent="0.25">
      <c r="A126" s="5" t="s">
        <v>230</v>
      </c>
      <c r="B126" s="5" t="s">
        <v>37</v>
      </c>
      <c r="C126" s="34" t="s">
        <v>251</v>
      </c>
      <c r="D126" s="34" t="s">
        <v>211</v>
      </c>
      <c r="E126" s="319">
        <v>52.32</v>
      </c>
      <c r="F126" s="5" t="s">
        <v>4</v>
      </c>
      <c r="G126" s="41" t="s">
        <v>5</v>
      </c>
      <c r="H126" s="136" t="s">
        <v>738</v>
      </c>
      <c r="I126" s="5"/>
      <c r="J126" s="5"/>
      <c r="K126" s="21" t="s">
        <v>2068</v>
      </c>
      <c r="L126" s="34" t="s">
        <v>10</v>
      </c>
      <c r="M126" s="84"/>
      <c r="N126" s="75"/>
      <c r="O126" s="315"/>
      <c r="P126" s="76"/>
      <c r="Q126" s="84">
        <v>10.1</v>
      </c>
      <c r="R126" s="84"/>
      <c r="S126" s="84">
        <v>33.22</v>
      </c>
      <c r="T126" s="76">
        <v>2.96</v>
      </c>
      <c r="U126" s="76"/>
      <c r="V126" s="84"/>
      <c r="W126" s="84"/>
      <c r="X126" s="84"/>
      <c r="Y126" s="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</row>
    <row r="127" spans="1:78" s="122" customFormat="1" ht="30" x14ac:dyDescent="0.25">
      <c r="A127" s="53" t="s">
        <v>230</v>
      </c>
      <c r="B127" s="53" t="s">
        <v>74</v>
      </c>
      <c r="C127" s="117" t="s">
        <v>252</v>
      </c>
      <c r="D127" s="117" t="s">
        <v>253</v>
      </c>
      <c r="E127" s="96">
        <v>26.27</v>
      </c>
      <c r="F127" s="53" t="s">
        <v>4</v>
      </c>
      <c r="G127" s="117" t="s">
        <v>5</v>
      </c>
      <c r="H127" s="134" t="s">
        <v>738</v>
      </c>
      <c r="I127" s="53"/>
      <c r="J127" s="5"/>
      <c r="K127" s="21" t="s">
        <v>2068</v>
      </c>
      <c r="L127" s="117" t="s">
        <v>40</v>
      </c>
      <c r="M127" s="126"/>
      <c r="N127" s="125"/>
      <c r="O127" s="316"/>
      <c r="P127" s="102"/>
      <c r="Q127" s="126"/>
      <c r="R127" s="126"/>
      <c r="S127" s="126">
        <v>20.6</v>
      </c>
      <c r="T127" s="102">
        <v>2.4500000000000002</v>
      </c>
      <c r="U127" s="102"/>
      <c r="V127" s="126"/>
      <c r="W127" s="126"/>
      <c r="X127" s="126"/>
      <c r="Y127" s="126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</row>
    <row r="128" spans="1:78" s="122" customFormat="1" ht="30" x14ac:dyDescent="0.25">
      <c r="A128" s="85" t="s">
        <v>230</v>
      </c>
      <c r="B128" s="85" t="s">
        <v>1</v>
      </c>
      <c r="C128" s="132" t="s">
        <v>261</v>
      </c>
      <c r="D128" s="99" t="s">
        <v>3</v>
      </c>
      <c r="E128" s="368">
        <v>8.3000000000000007</v>
      </c>
      <c r="F128" s="80" t="s">
        <v>4</v>
      </c>
      <c r="G128" s="52" t="s">
        <v>77</v>
      </c>
      <c r="H128" s="133" t="s">
        <v>738</v>
      </c>
      <c r="I128" s="53"/>
      <c r="J128" s="5"/>
      <c r="K128" s="21" t="s">
        <v>2068</v>
      </c>
      <c r="L128" s="121" t="s">
        <v>6</v>
      </c>
      <c r="M128" s="131" t="s">
        <v>7</v>
      </c>
      <c r="N128" s="130">
        <v>1450</v>
      </c>
      <c r="O128" s="317">
        <v>2100</v>
      </c>
      <c r="P128" s="102">
        <f t="shared" ref="P128:P129" si="12">N128*O128*0.000001</f>
        <v>3.0449999999999999</v>
      </c>
      <c r="Q128" s="126"/>
      <c r="R128" s="126"/>
      <c r="S128" s="126">
        <v>12.35</v>
      </c>
      <c r="T128" s="126">
        <v>2.7</v>
      </c>
      <c r="U128" s="102">
        <f>S128*T128-P128-Q128-X128-Y128</f>
        <v>30.299999999999997</v>
      </c>
      <c r="V128" s="126"/>
      <c r="W128" s="126"/>
      <c r="X128" s="126"/>
      <c r="Y128" s="126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</row>
    <row r="129" spans="1:78" s="122" customFormat="1" ht="30" x14ac:dyDescent="0.25">
      <c r="A129" s="85" t="s">
        <v>230</v>
      </c>
      <c r="B129" s="85" t="s">
        <v>1</v>
      </c>
      <c r="C129" s="132" t="s">
        <v>262</v>
      </c>
      <c r="D129" s="99" t="s">
        <v>263</v>
      </c>
      <c r="E129" s="368">
        <v>47.5</v>
      </c>
      <c r="F129" s="80" t="s">
        <v>4</v>
      </c>
      <c r="G129" s="52" t="s">
        <v>77</v>
      </c>
      <c r="H129" s="133" t="s">
        <v>738</v>
      </c>
      <c r="I129" s="53"/>
      <c r="J129" s="5"/>
      <c r="K129" s="21" t="s">
        <v>2068</v>
      </c>
      <c r="L129" s="121" t="s">
        <v>6</v>
      </c>
      <c r="M129" s="131" t="s">
        <v>7</v>
      </c>
      <c r="N129" s="130">
        <v>4500</v>
      </c>
      <c r="O129" s="317">
        <v>2100</v>
      </c>
      <c r="P129" s="102">
        <f t="shared" si="12"/>
        <v>9.4499999999999993</v>
      </c>
      <c r="Q129" s="126">
        <v>8.5500000000000007</v>
      </c>
      <c r="R129" s="126"/>
      <c r="S129" s="126">
        <v>30.24</v>
      </c>
      <c r="T129" s="126">
        <v>3</v>
      </c>
      <c r="U129" s="102">
        <f>S129*T129-P129-Q129-X129-Y129</f>
        <v>72.72</v>
      </c>
      <c r="V129" s="126"/>
      <c r="W129" s="126">
        <v>59.52</v>
      </c>
      <c r="X129" s="126"/>
      <c r="Y129" s="126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</row>
    <row r="130" spans="1:78" s="65" customFormat="1" x14ac:dyDescent="0.25">
      <c r="A130" s="5" t="s">
        <v>230</v>
      </c>
      <c r="B130" s="5" t="s">
        <v>1</v>
      </c>
      <c r="C130" s="41" t="s">
        <v>264</v>
      </c>
      <c r="D130" s="41" t="s">
        <v>265</v>
      </c>
      <c r="E130" s="366">
        <v>287.5</v>
      </c>
      <c r="F130" s="62" t="s">
        <v>4</v>
      </c>
      <c r="G130" s="41" t="s">
        <v>77</v>
      </c>
      <c r="H130" s="133"/>
      <c r="I130" s="5"/>
      <c r="J130" s="5"/>
      <c r="K130" s="5" t="s">
        <v>2071</v>
      </c>
      <c r="L130" s="41" t="s">
        <v>66</v>
      </c>
      <c r="M130" s="77"/>
      <c r="N130" s="92"/>
      <c r="O130" s="318"/>
      <c r="P130" s="76">
        <v>4.4400000000000004</v>
      </c>
      <c r="Q130" s="84"/>
      <c r="R130" s="84"/>
      <c r="S130" s="84">
        <v>67.92</v>
      </c>
      <c r="T130" s="76">
        <v>4.9800000000000004</v>
      </c>
      <c r="U130" s="76"/>
      <c r="V130" s="84"/>
      <c r="W130" s="84"/>
      <c r="X130" s="84"/>
      <c r="Y130" s="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  <c r="BV130" s="184"/>
      <c r="BW130" s="184"/>
      <c r="BX130" s="184"/>
      <c r="BY130" s="184"/>
      <c r="BZ130" s="184"/>
    </row>
    <row r="131" spans="1:78" s="65" customFormat="1" ht="30" x14ac:dyDescent="0.25">
      <c r="A131" s="5" t="s">
        <v>230</v>
      </c>
      <c r="B131" s="5" t="s">
        <v>1</v>
      </c>
      <c r="C131" s="41" t="s">
        <v>266</v>
      </c>
      <c r="D131" s="41" t="s">
        <v>267</v>
      </c>
      <c r="E131" s="366">
        <v>26.19</v>
      </c>
      <c r="F131" s="62" t="s">
        <v>4</v>
      </c>
      <c r="G131" s="41" t="s">
        <v>77</v>
      </c>
      <c r="H131" s="133"/>
      <c r="I131" s="5"/>
      <c r="J131" s="5"/>
      <c r="K131" s="5" t="s">
        <v>2071</v>
      </c>
      <c r="L131" s="41" t="s">
        <v>66</v>
      </c>
      <c r="M131" s="77"/>
      <c r="N131" s="92"/>
      <c r="O131" s="318"/>
      <c r="P131" s="76">
        <v>1.56</v>
      </c>
      <c r="Q131" s="84"/>
      <c r="R131" s="84"/>
      <c r="S131" s="84">
        <v>22.9</v>
      </c>
      <c r="T131" s="76">
        <v>2.5099999999999998</v>
      </c>
      <c r="U131" s="76"/>
      <c r="V131" s="84"/>
      <c r="W131" s="84"/>
      <c r="X131" s="84"/>
      <c r="Y131" s="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</row>
    <row r="132" spans="1:78" s="65" customFormat="1" x14ac:dyDescent="0.25">
      <c r="A132" s="5" t="s">
        <v>230</v>
      </c>
      <c r="B132" s="5" t="s">
        <v>1</v>
      </c>
      <c r="C132" s="41" t="s">
        <v>268</v>
      </c>
      <c r="D132" s="41" t="s">
        <v>269</v>
      </c>
      <c r="E132" s="366">
        <v>26.19</v>
      </c>
      <c r="F132" s="62" t="s">
        <v>4</v>
      </c>
      <c r="G132" s="41" t="s">
        <v>77</v>
      </c>
      <c r="H132" s="133"/>
      <c r="I132" s="5"/>
      <c r="J132" s="5"/>
      <c r="K132" s="5" t="s">
        <v>2071</v>
      </c>
      <c r="L132" s="41" t="s">
        <v>103</v>
      </c>
      <c r="M132" s="77"/>
      <c r="N132" s="92"/>
      <c r="O132" s="318"/>
      <c r="P132" s="76">
        <v>1.56</v>
      </c>
      <c r="Q132" s="84"/>
      <c r="R132" s="84"/>
      <c r="S132" s="84"/>
      <c r="T132" s="84">
        <v>3.5</v>
      </c>
      <c r="U132" s="76"/>
      <c r="V132" s="84"/>
      <c r="W132" s="84"/>
      <c r="X132" s="84"/>
      <c r="Y132" s="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</row>
    <row r="133" spans="1:78" s="65" customFormat="1" x14ac:dyDescent="0.25">
      <c r="A133" s="5" t="s">
        <v>230</v>
      </c>
      <c r="B133" s="5" t="s">
        <v>1</v>
      </c>
      <c r="C133" s="41" t="s">
        <v>270</v>
      </c>
      <c r="D133" s="41" t="s">
        <v>269</v>
      </c>
      <c r="E133" s="366">
        <v>26.19</v>
      </c>
      <c r="F133" s="62" t="s">
        <v>4</v>
      </c>
      <c r="G133" s="41" t="s">
        <v>77</v>
      </c>
      <c r="H133" s="133"/>
      <c r="I133" s="5"/>
      <c r="J133" s="5"/>
      <c r="K133" s="5" t="s">
        <v>2071</v>
      </c>
      <c r="L133" s="41" t="s">
        <v>103</v>
      </c>
      <c r="M133" s="77"/>
      <c r="N133" s="92"/>
      <c r="O133" s="318"/>
      <c r="P133" s="76">
        <v>1.56</v>
      </c>
      <c r="Q133" s="84"/>
      <c r="R133" s="84"/>
      <c r="S133" s="84"/>
      <c r="T133" s="84">
        <v>3.5</v>
      </c>
      <c r="U133" s="76"/>
      <c r="V133" s="84"/>
      <c r="W133" s="84"/>
      <c r="X133" s="84"/>
      <c r="Y133" s="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</row>
    <row r="134" spans="1:78" s="65" customFormat="1" ht="30" x14ac:dyDescent="0.25">
      <c r="A134" s="5" t="s">
        <v>230</v>
      </c>
      <c r="B134" s="5" t="s">
        <v>37</v>
      </c>
      <c r="C134" s="41" t="s">
        <v>271</v>
      </c>
      <c r="D134" s="41" t="s">
        <v>87</v>
      </c>
      <c r="E134" s="97">
        <v>25.1</v>
      </c>
      <c r="F134" s="62" t="s">
        <v>4</v>
      </c>
      <c r="G134" s="93" t="s">
        <v>77</v>
      </c>
      <c r="H134" s="206" t="s">
        <v>738</v>
      </c>
      <c r="I134" s="5"/>
      <c r="J134" s="5"/>
      <c r="K134" s="21" t="s">
        <v>2068</v>
      </c>
      <c r="L134" s="90" t="s">
        <v>218</v>
      </c>
      <c r="M134" s="77"/>
      <c r="N134" s="92"/>
      <c r="O134" s="318"/>
      <c r="P134" s="76"/>
      <c r="Q134" s="84"/>
      <c r="R134" s="84"/>
      <c r="S134" s="84"/>
      <c r="T134" s="76">
        <v>3.4</v>
      </c>
      <c r="U134" s="76"/>
      <c r="V134" s="84"/>
      <c r="W134" s="84"/>
      <c r="X134" s="84"/>
      <c r="Y134" s="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</row>
    <row r="135" spans="1:78" s="65" customFormat="1" ht="30" x14ac:dyDescent="0.25">
      <c r="A135" s="28" t="s">
        <v>230</v>
      </c>
      <c r="B135" s="28" t="s">
        <v>74</v>
      </c>
      <c r="C135" s="60" t="s">
        <v>272</v>
      </c>
      <c r="D135" s="60" t="s">
        <v>87</v>
      </c>
      <c r="E135" s="360">
        <v>18.5</v>
      </c>
      <c r="F135" s="3" t="s">
        <v>4</v>
      </c>
      <c r="G135" s="41" t="s">
        <v>77</v>
      </c>
      <c r="H135" s="136" t="s">
        <v>738</v>
      </c>
      <c r="I135" s="5"/>
      <c r="J135" s="5"/>
      <c r="K135" s="21" t="s">
        <v>2068</v>
      </c>
      <c r="L135" s="90" t="s">
        <v>218</v>
      </c>
      <c r="M135" s="77"/>
      <c r="N135" s="92"/>
      <c r="O135" s="318"/>
      <c r="P135" s="76"/>
      <c r="Q135" s="84"/>
      <c r="R135" s="84"/>
      <c r="S135" s="84"/>
      <c r="T135" s="84">
        <v>3.4</v>
      </c>
      <c r="U135" s="76"/>
      <c r="V135" s="84"/>
      <c r="W135" s="84"/>
      <c r="X135" s="84"/>
      <c r="Y135" s="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</row>
    <row r="136" spans="1:78" s="65" customFormat="1" ht="30" x14ac:dyDescent="0.25">
      <c r="A136" s="86" t="s">
        <v>230</v>
      </c>
      <c r="B136" s="28" t="s">
        <v>1</v>
      </c>
      <c r="C136" s="94" t="s">
        <v>273</v>
      </c>
      <c r="D136" s="45" t="s">
        <v>87</v>
      </c>
      <c r="E136" s="369">
        <v>34.200000000000003</v>
      </c>
      <c r="F136" s="86" t="s">
        <v>4</v>
      </c>
      <c r="G136" s="42" t="s">
        <v>77</v>
      </c>
      <c r="H136" s="136" t="s">
        <v>738</v>
      </c>
      <c r="I136" s="5"/>
      <c r="J136" s="5"/>
      <c r="K136" s="21" t="s">
        <v>2068</v>
      </c>
      <c r="L136" s="90" t="s">
        <v>218</v>
      </c>
      <c r="M136" s="84"/>
      <c r="N136" s="75"/>
      <c r="O136" s="75"/>
      <c r="P136" s="76">
        <f>N136*O136*0.000001</f>
        <v>0</v>
      </c>
      <c r="Q136" s="84"/>
      <c r="R136" s="84"/>
      <c r="S136" s="84">
        <v>19.02</v>
      </c>
      <c r="T136" s="84">
        <v>3.4</v>
      </c>
      <c r="U136" s="84">
        <f>S136*T136-P136</f>
        <v>64.667999999999992</v>
      </c>
      <c r="V136" s="84"/>
      <c r="W136" s="84"/>
      <c r="X136" s="84"/>
      <c r="Y136" s="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4"/>
      <c r="BX136" s="184"/>
      <c r="BY136" s="184"/>
      <c r="BZ136" s="184"/>
    </row>
    <row r="138" spans="1:78" ht="17.25" x14ac:dyDescent="0.25">
      <c r="B138" s="284" t="s">
        <v>274</v>
      </c>
      <c r="C138" s="284"/>
      <c r="D138" s="305"/>
      <c r="E138" s="286">
        <f>SUM(E5:E136)</f>
        <v>2625.5350000000003</v>
      </c>
      <c r="F138" s="284" t="s">
        <v>1560</v>
      </c>
      <c r="AA138" s="113"/>
    </row>
    <row r="139" spans="1:78" x14ac:dyDescent="0.25">
      <c r="E139" s="249"/>
    </row>
    <row r="140" spans="1:78" x14ac:dyDescent="0.25">
      <c r="C140" s="278" t="s">
        <v>1807</v>
      </c>
      <c r="D140" s="342"/>
      <c r="E140" s="358"/>
      <c r="F140" s="65"/>
    </row>
    <row r="141" spans="1:78" ht="17.25" x14ac:dyDescent="0.25">
      <c r="C141" s="65"/>
      <c r="D141" s="358" t="s">
        <v>1808</v>
      </c>
      <c r="E141" s="345">
        <f>SUM(E5:E48)+SUM(E62:E65)+SUM(E70:E102)+SUM(E109:E127)</f>
        <v>1495.93</v>
      </c>
      <c r="F141" s="342" t="s">
        <v>1560</v>
      </c>
    </row>
    <row r="142" spans="1:78" ht="17.25" x14ac:dyDescent="0.25">
      <c r="C142" s="65"/>
      <c r="D142" s="358" t="s">
        <v>37</v>
      </c>
      <c r="E142" s="345">
        <f>E103</f>
        <v>1.2</v>
      </c>
      <c r="F142" s="342" t="s">
        <v>1560</v>
      </c>
    </row>
    <row r="143" spans="1:78" ht="17.25" x14ac:dyDescent="0.25">
      <c r="C143" s="65"/>
      <c r="D143" s="358" t="s">
        <v>77</v>
      </c>
      <c r="E143" s="345">
        <f>SUM(E49:E61)+SUM(E66:E69)+SUM(E104:E108)+SUM(E128:E136)</f>
        <v>1128.4050000000002</v>
      </c>
      <c r="F143" s="342" t="s">
        <v>1560</v>
      </c>
    </row>
    <row r="144" spans="1:78" ht="17.25" x14ac:dyDescent="0.25">
      <c r="C144" s="65"/>
      <c r="D144" s="358" t="s">
        <v>229</v>
      </c>
      <c r="E144" s="345">
        <v>0</v>
      </c>
      <c r="F144" s="342" t="s">
        <v>1560</v>
      </c>
    </row>
    <row r="145" spans="3:6" ht="17.25" x14ac:dyDescent="0.25">
      <c r="C145" s="65"/>
      <c r="D145" s="359" t="s">
        <v>274</v>
      </c>
      <c r="E145" s="345">
        <f>SUM(E141:E144)</f>
        <v>2625.5350000000003</v>
      </c>
      <c r="F145" s="342" t="s">
        <v>1560</v>
      </c>
    </row>
    <row r="146" spans="3:6" x14ac:dyDescent="0.25">
      <c r="C146" s="65"/>
      <c r="D146" s="359"/>
      <c r="E146" s="345"/>
      <c r="F146" s="342"/>
    </row>
    <row r="147" spans="3:6" x14ac:dyDescent="0.25">
      <c r="C147" s="284" t="s">
        <v>1994</v>
      </c>
    </row>
    <row r="148" spans="3:6" x14ac:dyDescent="0.25">
      <c r="C148" s="504" t="s">
        <v>2062</v>
      </c>
      <c r="D148" s="305"/>
      <c r="E148" s="295"/>
    </row>
    <row r="149" spans="3:6" x14ac:dyDescent="0.25">
      <c r="C149" s="504" t="s">
        <v>2063</v>
      </c>
      <c r="D149" s="305"/>
      <c r="E149" s="295"/>
    </row>
    <row r="150" spans="3:6" x14ac:dyDescent="0.25">
      <c r="C150" s="284" t="s">
        <v>1964</v>
      </c>
      <c r="D150" s="305"/>
      <c r="E150" s="295" t="s">
        <v>1965</v>
      </c>
    </row>
    <row r="151" spans="3:6" x14ac:dyDescent="0.25">
      <c r="C151" s="284" t="s">
        <v>1966</v>
      </c>
      <c r="D151" s="305"/>
      <c r="E151" s="295" t="s">
        <v>1965</v>
      </c>
    </row>
  </sheetData>
  <sheetProtection password="87E5" sheet="1" objects="1" scenarios="1"/>
  <mergeCells count="26">
    <mergeCell ref="K1:K4"/>
    <mergeCell ref="T1:T4"/>
    <mergeCell ref="U1:X1"/>
    <mergeCell ref="Y1:Y4"/>
    <mergeCell ref="U2:V2"/>
    <mergeCell ref="L1:L4"/>
    <mergeCell ref="M1:O4"/>
    <mergeCell ref="P1:P4"/>
    <mergeCell ref="Q1:Q4"/>
    <mergeCell ref="R1:R4"/>
    <mergeCell ref="S1:S4"/>
    <mergeCell ref="U3:U4"/>
    <mergeCell ref="V3:V4"/>
    <mergeCell ref="W3:W4"/>
    <mergeCell ref="X3:X4"/>
    <mergeCell ref="W2:X2"/>
    <mergeCell ref="A1:F2"/>
    <mergeCell ref="G1:G4"/>
    <mergeCell ref="I1:I4"/>
    <mergeCell ref="J1:J4"/>
    <mergeCell ref="A3:A4"/>
    <mergeCell ref="B3:B4"/>
    <mergeCell ref="C3:C4"/>
    <mergeCell ref="D3:D4"/>
    <mergeCell ref="E3:F4"/>
    <mergeCell ref="H1:H4"/>
  </mergeCells>
  <pageMargins left="0.11811023622047245" right="0.11811023622047245" top="0.55118110236220474" bottom="0.55118110236220474" header="0.31496062992125984" footer="0.31496062992125984"/>
  <pageSetup paperSize="9" scale="70" fitToHeight="0" orientation="landscape" r:id="rId1"/>
  <headerFooter>
    <oddFooter>&amp;P. oldal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"/>
  <sheetViews>
    <sheetView zoomScale="80" zoomScaleNormal="80" workbookViewId="0">
      <pane xSplit="7" ySplit="4" topLeftCell="H90" activePane="bottomRight" state="frozen"/>
      <selection pane="topRight" activeCell="H1" sqref="H1"/>
      <selection pane="bottomLeft" activeCell="A5" sqref="A5"/>
      <selection pane="bottomRight" activeCell="C112" sqref="C112"/>
    </sheetView>
  </sheetViews>
  <sheetFormatPr defaultRowHeight="15" x14ac:dyDescent="0.25"/>
  <cols>
    <col min="1" max="1" width="5.140625" style="15" bestFit="1" customWidth="1"/>
    <col min="2" max="2" width="8.7109375" style="15" bestFit="1" customWidth="1"/>
    <col min="3" max="3" width="10.42578125" style="15" bestFit="1" customWidth="1"/>
    <col min="4" max="4" width="22.7109375" style="15" customWidth="1"/>
    <col min="5" max="5" width="9" style="274" customWidth="1"/>
    <col min="6" max="6" width="4.140625" style="15" customWidth="1"/>
    <col min="7" max="7" width="10.85546875" style="15" customWidth="1"/>
    <col min="8" max="8" width="15" style="15" customWidth="1"/>
    <col min="9" max="10" width="11.42578125" style="15" customWidth="1"/>
    <col min="11" max="11" width="21.5703125" style="15" customWidth="1"/>
    <col min="12" max="12" width="11" style="15" customWidth="1"/>
    <col min="13" max="13" width="7.7109375" style="15" customWidth="1"/>
    <col min="14" max="14" width="7.140625" style="15" customWidth="1"/>
    <col min="15" max="15" width="6" style="15" customWidth="1"/>
    <col min="16" max="16" width="9.140625" style="15" customWidth="1"/>
    <col min="17" max="17" width="7.85546875" style="15" customWidth="1"/>
    <col min="18" max="18" width="8.28515625" style="15" customWidth="1"/>
    <col min="19" max="19" width="8" style="15" customWidth="1"/>
    <col min="20" max="20" width="7.140625" style="15" customWidth="1"/>
    <col min="21" max="24" width="8.7109375" style="15" customWidth="1"/>
    <col min="25" max="25" width="9.140625" style="15" customWidth="1"/>
    <col min="26" max="16384" width="9.140625" style="15"/>
  </cols>
  <sheetData>
    <row r="1" spans="1:25" ht="15" customHeight="1" x14ac:dyDescent="0.25">
      <c r="A1" s="642" t="s">
        <v>1465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119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25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5" s="14" customFormat="1" ht="33.7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5" ht="15.75" thickBot="1" x14ac:dyDescent="0.3">
      <c r="A4" s="277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25" ht="30" x14ac:dyDescent="0.25">
      <c r="A5" s="177" t="s">
        <v>277</v>
      </c>
      <c r="B5" s="177" t="s">
        <v>361</v>
      </c>
      <c r="C5" s="177" t="s">
        <v>1451</v>
      </c>
      <c r="D5" s="177" t="s">
        <v>362</v>
      </c>
      <c r="E5" s="194">
        <v>7.4</v>
      </c>
      <c r="F5" s="177" t="s">
        <v>4</v>
      </c>
      <c r="G5" s="22" t="s">
        <v>77</v>
      </c>
      <c r="H5" s="180" t="s">
        <v>738</v>
      </c>
      <c r="I5" s="22"/>
      <c r="J5" s="6" t="s">
        <v>194</v>
      </c>
      <c r="K5" s="21" t="s">
        <v>1448</v>
      </c>
      <c r="L5" s="177" t="s">
        <v>6</v>
      </c>
      <c r="M5" s="177" t="s">
        <v>7</v>
      </c>
      <c r="N5" s="177">
        <v>1500</v>
      </c>
      <c r="O5" s="177">
        <v>2125</v>
      </c>
      <c r="P5" s="140">
        <f>(N5*O5*0.000001)+2.1*2.2</f>
        <v>7.807500000000001</v>
      </c>
      <c r="Q5" s="140"/>
      <c r="R5" s="140"/>
      <c r="S5" s="140">
        <v>11.29</v>
      </c>
      <c r="T5" s="140">
        <v>2.4</v>
      </c>
      <c r="U5" s="140">
        <f>(S5-3.58)*(T5-0.8)-2</f>
        <v>10.335999999999997</v>
      </c>
      <c r="V5" s="140"/>
      <c r="W5" s="140"/>
      <c r="X5" s="140">
        <v>8.94</v>
      </c>
      <c r="Y5" s="140"/>
    </row>
    <row r="6" spans="1:25" ht="30" x14ac:dyDescent="0.25">
      <c r="A6" s="139" t="s">
        <v>277</v>
      </c>
      <c r="B6" s="139" t="s">
        <v>361</v>
      </c>
      <c r="C6" s="139" t="s">
        <v>1452</v>
      </c>
      <c r="D6" s="139" t="s">
        <v>55</v>
      </c>
      <c r="E6" s="190">
        <v>50.4</v>
      </c>
      <c r="F6" s="139" t="s">
        <v>4</v>
      </c>
      <c r="G6" s="6" t="s">
        <v>77</v>
      </c>
      <c r="H6" s="181" t="s">
        <v>738</v>
      </c>
      <c r="I6" s="6"/>
      <c r="J6" s="6" t="s">
        <v>194</v>
      </c>
      <c r="K6" s="21" t="s">
        <v>1448</v>
      </c>
      <c r="L6" s="139" t="s">
        <v>6</v>
      </c>
      <c r="M6" s="139" t="s">
        <v>7</v>
      </c>
      <c r="N6" s="139">
        <v>21600</v>
      </c>
      <c r="O6" s="139">
        <v>2125</v>
      </c>
      <c r="P6" s="141">
        <f t="shared" ref="P6:P16" si="0">N6*O6*0.000001</f>
        <v>45.9</v>
      </c>
      <c r="Q6" s="141"/>
      <c r="R6" s="141"/>
      <c r="S6" s="141">
        <v>50.92</v>
      </c>
      <c r="T6" s="141">
        <v>2.25</v>
      </c>
      <c r="U6" s="141">
        <f>S6*T6-P6-X6</f>
        <v>35.030000000000015</v>
      </c>
      <c r="V6" s="141"/>
      <c r="W6" s="141"/>
      <c r="X6" s="141">
        <f>S6-(N6/1000)*0.8</f>
        <v>33.64</v>
      </c>
      <c r="Y6" s="141"/>
    </row>
    <row r="7" spans="1:25" ht="30" x14ac:dyDescent="0.25">
      <c r="A7" s="139" t="s">
        <v>277</v>
      </c>
      <c r="B7" s="139" t="s">
        <v>361</v>
      </c>
      <c r="C7" s="139" t="s">
        <v>1453</v>
      </c>
      <c r="D7" s="139" t="s">
        <v>55</v>
      </c>
      <c r="E7" s="190">
        <v>70.8</v>
      </c>
      <c r="F7" s="139" t="s">
        <v>4</v>
      </c>
      <c r="G7" s="6" t="s">
        <v>77</v>
      </c>
      <c r="H7" s="181" t="s">
        <v>738</v>
      </c>
      <c r="I7" s="6"/>
      <c r="J7" s="6" t="s">
        <v>194</v>
      </c>
      <c r="K7" s="21" t="s">
        <v>1448</v>
      </c>
      <c r="L7" s="139" t="s">
        <v>6</v>
      </c>
      <c r="M7" s="139" t="s">
        <v>7</v>
      </c>
      <c r="N7" s="139">
        <v>7125</v>
      </c>
      <c r="O7" s="139">
        <v>2125</v>
      </c>
      <c r="P7" s="141">
        <f t="shared" si="0"/>
        <v>15.140625</v>
      </c>
      <c r="Q7" s="141">
        <v>0.72</v>
      </c>
      <c r="R7" s="141">
        <v>0.72</v>
      </c>
      <c r="S7" s="141">
        <v>68.58</v>
      </c>
      <c r="T7" s="141">
        <v>2.25</v>
      </c>
      <c r="U7" s="141">
        <f>S7*T7-P7-X7-Y7</f>
        <v>73.094375000000014</v>
      </c>
      <c r="V7" s="141"/>
      <c r="W7" s="141"/>
      <c r="X7" s="141">
        <f>S7-(N7/1000)*0.8</f>
        <v>62.879999999999995</v>
      </c>
      <c r="Y7" s="141">
        <v>3.19</v>
      </c>
    </row>
    <row r="8" spans="1:25" ht="30" x14ac:dyDescent="0.25">
      <c r="A8" s="1" t="s">
        <v>277</v>
      </c>
      <c r="B8" s="1" t="s">
        <v>278</v>
      </c>
      <c r="C8" s="1" t="s">
        <v>1454</v>
      </c>
      <c r="D8" s="1" t="s">
        <v>55</v>
      </c>
      <c r="E8" s="29">
        <v>51.8</v>
      </c>
      <c r="F8" s="1" t="s">
        <v>4</v>
      </c>
      <c r="G8" s="6" t="s">
        <v>77</v>
      </c>
      <c r="H8" s="181" t="s">
        <v>738</v>
      </c>
      <c r="I8" s="6"/>
      <c r="J8" s="6" t="s">
        <v>194</v>
      </c>
      <c r="K8" s="21" t="s">
        <v>1448</v>
      </c>
      <c r="L8" s="1" t="s">
        <v>6</v>
      </c>
      <c r="M8" s="1" t="s">
        <v>7</v>
      </c>
      <c r="N8" s="1">
        <v>7775</v>
      </c>
      <c r="O8" s="1">
        <v>2125</v>
      </c>
      <c r="P8" s="30">
        <f t="shared" si="0"/>
        <v>16.521874999999998</v>
      </c>
      <c r="Q8" s="30"/>
      <c r="R8" s="30"/>
      <c r="S8" s="30">
        <v>41.04</v>
      </c>
      <c r="T8" s="30">
        <v>2.25</v>
      </c>
      <c r="U8" s="30">
        <f>S8*T8-P8-Y8-X8-3.3</f>
        <v>33.708125000000017</v>
      </c>
      <c r="V8" s="30"/>
      <c r="W8" s="30"/>
      <c r="X8" s="30">
        <f>S8-(N8/1000+1.5)*0.8+2</f>
        <v>35.619999999999997</v>
      </c>
      <c r="Y8" s="30">
        <v>3.19</v>
      </c>
    </row>
    <row r="9" spans="1:25" ht="30" x14ac:dyDescent="0.25">
      <c r="A9" s="1" t="s">
        <v>277</v>
      </c>
      <c r="B9" s="1" t="s">
        <v>278</v>
      </c>
      <c r="C9" s="1" t="s">
        <v>1455</v>
      </c>
      <c r="D9" s="1" t="s">
        <v>1456</v>
      </c>
      <c r="E9" s="29">
        <v>22.8</v>
      </c>
      <c r="F9" s="1" t="s">
        <v>4</v>
      </c>
      <c r="G9" s="6" t="s">
        <v>77</v>
      </c>
      <c r="H9" s="181" t="s">
        <v>738</v>
      </c>
      <c r="I9" s="6"/>
      <c r="J9" s="6" t="s">
        <v>194</v>
      </c>
      <c r="K9" s="21" t="s">
        <v>1448</v>
      </c>
      <c r="L9" s="1" t="s">
        <v>6</v>
      </c>
      <c r="M9" s="1" t="s">
        <v>7</v>
      </c>
      <c r="N9" s="1">
        <v>3250</v>
      </c>
      <c r="O9" s="1">
        <v>2125</v>
      </c>
      <c r="P9" s="30">
        <f t="shared" si="0"/>
        <v>6.90625</v>
      </c>
      <c r="Q9" s="30"/>
      <c r="R9" s="30"/>
      <c r="S9" s="30">
        <v>19.13</v>
      </c>
      <c r="T9" s="30">
        <v>2.4</v>
      </c>
      <c r="U9" s="30">
        <v>11.1</v>
      </c>
      <c r="V9" s="30"/>
      <c r="W9" s="30"/>
      <c r="X9" s="30">
        <f>S9*T9-P9-U9-9.02</f>
        <v>18.885749999999998</v>
      </c>
      <c r="Y9" s="30"/>
    </row>
    <row r="10" spans="1:25" ht="30" x14ac:dyDescent="0.25">
      <c r="A10" s="1" t="s">
        <v>277</v>
      </c>
      <c r="B10" s="1" t="s">
        <v>278</v>
      </c>
      <c r="C10" s="1" t="s">
        <v>1457</v>
      </c>
      <c r="D10" s="1" t="s">
        <v>362</v>
      </c>
      <c r="E10" s="29">
        <v>21.6</v>
      </c>
      <c r="F10" s="1" t="s">
        <v>4</v>
      </c>
      <c r="G10" s="6" t="s">
        <v>77</v>
      </c>
      <c r="H10" s="181" t="s">
        <v>738</v>
      </c>
      <c r="I10" s="6"/>
      <c r="J10" s="6" t="s">
        <v>194</v>
      </c>
      <c r="K10" s="21" t="s">
        <v>1448</v>
      </c>
      <c r="L10" s="1" t="s">
        <v>6</v>
      </c>
      <c r="M10" s="1" t="s">
        <v>7</v>
      </c>
      <c r="N10" s="1">
        <v>4500</v>
      </c>
      <c r="O10" s="1">
        <v>2125</v>
      </c>
      <c r="P10" s="30">
        <f t="shared" si="0"/>
        <v>9.5625</v>
      </c>
      <c r="Q10" s="30"/>
      <c r="R10" s="30"/>
      <c r="S10" s="30">
        <v>20.97</v>
      </c>
      <c r="T10" s="30">
        <v>2.4</v>
      </c>
      <c r="U10" s="30">
        <f>S10*T10-P10-X10</f>
        <v>24.595499999999998</v>
      </c>
      <c r="V10" s="30"/>
      <c r="W10" s="30"/>
      <c r="X10" s="30">
        <f>S10-(N10/1000+1.5)*0.8</f>
        <v>16.169999999999998</v>
      </c>
      <c r="Y10" s="30"/>
    </row>
    <row r="11" spans="1:25" ht="30" x14ac:dyDescent="0.25">
      <c r="A11" s="1" t="s">
        <v>277</v>
      </c>
      <c r="B11" s="1" t="s">
        <v>278</v>
      </c>
      <c r="C11" s="1" t="s">
        <v>1458</v>
      </c>
      <c r="D11" s="1" t="s">
        <v>87</v>
      </c>
      <c r="E11" s="29">
        <v>11.8</v>
      </c>
      <c r="F11" s="1" t="s">
        <v>4</v>
      </c>
      <c r="G11" s="6" t="s">
        <v>77</v>
      </c>
      <c r="H11" s="181" t="s">
        <v>738</v>
      </c>
      <c r="I11" s="6"/>
      <c r="J11" s="6" t="s">
        <v>194</v>
      </c>
      <c r="K11" s="21" t="s">
        <v>1448</v>
      </c>
      <c r="L11" s="1" t="s">
        <v>6</v>
      </c>
      <c r="M11" s="1"/>
      <c r="N11" s="1"/>
      <c r="O11" s="1"/>
      <c r="P11" s="30">
        <f t="shared" si="0"/>
        <v>0</v>
      </c>
      <c r="Q11" s="30"/>
      <c r="R11" s="30"/>
      <c r="S11" s="30">
        <v>12.96</v>
      </c>
      <c r="T11" s="30">
        <v>2.4</v>
      </c>
      <c r="U11" s="30">
        <f>S11*T11-X11</f>
        <v>26.163999999999998</v>
      </c>
      <c r="V11" s="30"/>
      <c r="W11" s="30"/>
      <c r="X11" s="30">
        <v>4.9400000000000004</v>
      </c>
      <c r="Y11" s="30"/>
    </row>
    <row r="12" spans="1:25" ht="30" x14ac:dyDescent="0.25">
      <c r="A12" s="1" t="s">
        <v>277</v>
      </c>
      <c r="B12" s="1" t="s">
        <v>278</v>
      </c>
      <c r="C12" s="1" t="s">
        <v>1459</v>
      </c>
      <c r="D12" s="1" t="s">
        <v>55</v>
      </c>
      <c r="E12" s="29">
        <v>28</v>
      </c>
      <c r="F12" s="1" t="s">
        <v>4</v>
      </c>
      <c r="G12" s="6" t="s">
        <v>77</v>
      </c>
      <c r="H12" s="181" t="s">
        <v>738</v>
      </c>
      <c r="I12" s="6"/>
      <c r="J12" s="6" t="s">
        <v>194</v>
      </c>
      <c r="K12" s="21" t="s">
        <v>1448</v>
      </c>
      <c r="L12" s="1" t="s">
        <v>6</v>
      </c>
      <c r="M12" s="1" t="s">
        <v>7</v>
      </c>
      <c r="N12" s="1">
        <v>5500</v>
      </c>
      <c r="O12" s="1">
        <v>2125</v>
      </c>
      <c r="P12" s="30">
        <f t="shared" si="0"/>
        <v>11.6875</v>
      </c>
      <c r="Q12" s="30"/>
      <c r="R12" s="30"/>
      <c r="S12" s="30">
        <v>28.75</v>
      </c>
      <c r="T12" s="30">
        <v>2.4</v>
      </c>
      <c r="U12" s="30">
        <f>S12*T12-P12-X12-Y12</f>
        <v>30.9725</v>
      </c>
      <c r="V12" s="30"/>
      <c r="W12" s="30"/>
      <c r="X12" s="30">
        <f>S12-(N12/1000+1.5)*0.8</f>
        <v>23.15</v>
      </c>
      <c r="Y12" s="30">
        <v>3.19</v>
      </c>
    </row>
    <row r="13" spans="1:25" ht="30" x14ac:dyDescent="0.25">
      <c r="A13" s="139" t="s">
        <v>277</v>
      </c>
      <c r="B13" s="139" t="s">
        <v>228</v>
      </c>
      <c r="C13" s="139" t="s">
        <v>1460</v>
      </c>
      <c r="D13" s="139" t="s">
        <v>55</v>
      </c>
      <c r="E13" s="190">
        <v>39.6</v>
      </c>
      <c r="F13" s="139" t="s">
        <v>4</v>
      </c>
      <c r="G13" s="6" t="s">
        <v>77</v>
      </c>
      <c r="H13" s="181" t="s">
        <v>738</v>
      </c>
      <c r="I13" s="6"/>
      <c r="J13" s="6" t="s">
        <v>194</v>
      </c>
      <c r="K13" s="21" t="s">
        <v>1448</v>
      </c>
      <c r="L13" s="139" t="s">
        <v>6</v>
      </c>
      <c r="M13" s="139" t="s">
        <v>7</v>
      </c>
      <c r="N13" s="139">
        <v>6750</v>
      </c>
      <c r="O13" s="139">
        <v>2125</v>
      </c>
      <c r="P13" s="141">
        <f t="shared" si="0"/>
        <v>14.34375</v>
      </c>
      <c r="Q13" s="141"/>
      <c r="R13" s="141"/>
      <c r="S13" s="141">
        <v>36.81</v>
      </c>
      <c r="T13" s="141">
        <v>2.25</v>
      </c>
      <c r="U13" s="141">
        <f>S13*T13-P13-X13-Y13</f>
        <v>33.878750000000004</v>
      </c>
      <c r="V13" s="141"/>
      <c r="W13" s="141"/>
      <c r="X13" s="141">
        <f>S13-(N13/1000)*0.8</f>
        <v>31.410000000000004</v>
      </c>
      <c r="Y13" s="141">
        <v>3.19</v>
      </c>
    </row>
    <row r="14" spans="1:25" ht="30" x14ac:dyDescent="0.25">
      <c r="A14" s="139" t="s">
        <v>277</v>
      </c>
      <c r="B14" s="139" t="s">
        <v>228</v>
      </c>
      <c r="C14" s="139" t="s">
        <v>1461</v>
      </c>
      <c r="D14" s="139" t="s">
        <v>55</v>
      </c>
      <c r="E14" s="190">
        <v>59.3</v>
      </c>
      <c r="F14" s="139" t="s">
        <v>4</v>
      </c>
      <c r="G14" s="6" t="s">
        <v>77</v>
      </c>
      <c r="H14" s="181" t="s">
        <v>738</v>
      </c>
      <c r="I14" s="6"/>
      <c r="J14" s="6" t="s">
        <v>194</v>
      </c>
      <c r="K14" s="21" t="s">
        <v>1448</v>
      </c>
      <c r="L14" s="139" t="s">
        <v>6</v>
      </c>
      <c r="M14" s="139" t="s">
        <v>7</v>
      </c>
      <c r="N14" s="139">
        <v>8675</v>
      </c>
      <c r="O14" s="139">
        <v>2125</v>
      </c>
      <c r="P14" s="141">
        <f t="shared" si="0"/>
        <v>18.434374999999999</v>
      </c>
      <c r="Q14" s="141"/>
      <c r="R14" s="141"/>
      <c r="S14" s="141">
        <v>51.72</v>
      </c>
      <c r="T14" s="141">
        <v>2.2999999999999998</v>
      </c>
      <c r="U14" s="141">
        <f>S14*T14-P14-Q14-X14</f>
        <v>55.741624999999985</v>
      </c>
      <c r="V14" s="141"/>
      <c r="W14" s="141"/>
      <c r="X14" s="141">
        <f>S14-(N14/1000)*0.8</f>
        <v>44.78</v>
      </c>
      <c r="Y14" s="141"/>
    </row>
    <row r="15" spans="1:25" ht="30" x14ac:dyDescent="0.25">
      <c r="A15" s="139" t="s">
        <v>277</v>
      </c>
      <c r="B15" s="139" t="s">
        <v>228</v>
      </c>
      <c r="C15" s="139" t="s">
        <v>1462</v>
      </c>
      <c r="D15" s="139" t="s">
        <v>362</v>
      </c>
      <c r="E15" s="190">
        <v>8.1</v>
      </c>
      <c r="F15" s="139" t="s">
        <v>4</v>
      </c>
      <c r="G15" s="6" t="s">
        <v>77</v>
      </c>
      <c r="H15" s="181" t="s">
        <v>738</v>
      </c>
      <c r="I15" s="6"/>
      <c r="J15" s="6" t="s">
        <v>194</v>
      </c>
      <c r="K15" s="21" t="s">
        <v>1448</v>
      </c>
      <c r="L15" s="139" t="s">
        <v>6</v>
      </c>
      <c r="M15" s="139" t="s">
        <v>7</v>
      </c>
      <c r="N15" s="139">
        <v>1500</v>
      </c>
      <c r="O15" s="139">
        <v>2125</v>
      </c>
      <c r="P15" s="141">
        <f t="shared" si="0"/>
        <v>3.1875</v>
      </c>
      <c r="Q15" s="141"/>
      <c r="R15" s="141"/>
      <c r="S15" s="141">
        <v>11.51</v>
      </c>
      <c r="T15" s="141">
        <v>2.2999999999999998</v>
      </c>
      <c r="U15" s="141">
        <f>(S15-3.58)*(T15-0.8)-2</f>
        <v>9.8949999999999978</v>
      </c>
      <c r="V15" s="141"/>
      <c r="W15" s="141"/>
      <c r="X15" s="141">
        <v>8.94</v>
      </c>
      <c r="Y15" s="141"/>
    </row>
    <row r="16" spans="1:25" ht="30" x14ac:dyDescent="0.25">
      <c r="A16" s="139" t="s">
        <v>277</v>
      </c>
      <c r="B16" s="139" t="s">
        <v>228</v>
      </c>
      <c r="C16" s="139" t="s">
        <v>1463</v>
      </c>
      <c r="D16" s="139" t="s">
        <v>55</v>
      </c>
      <c r="E16" s="190">
        <v>11.9</v>
      </c>
      <c r="F16" s="139" t="s">
        <v>4</v>
      </c>
      <c r="G16" s="6" t="s">
        <v>77</v>
      </c>
      <c r="H16" s="181" t="s">
        <v>738</v>
      </c>
      <c r="I16" s="6"/>
      <c r="J16" s="6" t="s">
        <v>194</v>
      </c>
      <c r="K16" s="21" t="s">
        <v>1448</v>
      </c>
      <c r="L16" s="139" t="s">
        <v>6</v>
      </c>
      <c r="M16" s="139" t="s">
        <v>7</v>
      </c>
      <c r="N16" s="139">
        <v>6250</v>
      </c>
      <c r="O16" s="139">
        <v>2125</v>
      </c>
      <c r="P16" s="141">
        <f t="shared" si="0"/>
        <v>13.28125</v>
      </c>
      <c r="Q16" s="141"/>
      <c r="R16" s="141"/>
      <c r="S16" s="141">
        <v>16.12</v>
      </c>
      <c r="T16" s="141">
        <v>3.3</v>
      </c>
      <c r="U16" s="141">
        <f>S16*T16-P16-Q16</f>
        <v>39.914749999999998</v>
      </c>
      <c r="V16" s="141"/>
      <c r="W16" s="141"/>
      <c r="X16" s="141"/>
      <c r="Y16" s="141"/>
    </row>
    <row r="17" spans="1:25" s="278" customFormat="1" ht="17.25" x14ac:dyDescent="0.25">
      <c r="B17" s="278" t="s">
        <v>1551</v>
      </c>
      <c r="E17" s="279">
        <f>SUM(E5:E16)</f>
        <v>383.50000000000006</v>
      </c>
      <c r="F17" s="278" t="s">
        <v>1560</v>
      </c>
    </row>
    <row r="18" spans="1:25" ht="30" x14ac:dyDescent="0.25">
      <c r="A18" s="139" t="s">
        <v>0</v>
      </c>
      <c r="B18" s="139" t="s">
        <v>361</v>
      </c>
      <c r="C18" s="139" t="s">
        <v>1464</v>
      </c>
      <c r="D18" s="5" t="s">
        <v>1810</v>
      </c>
      <c r="E18" s="190">
        <v>6.7</v>
      </c>
      <c r="F18" s="139" t="s">
        <v>4</v>
      </c>
      <c r="G18" s="5" t="s">
        <v>5</v>
      </c>
      <c r="H18" s="181" t="s">
        <v>738</v>
      </c>
      <c r="I18" s="6"/>
      <c r="J18" s="6" t="s">
        <v>194</v>
      </c>
      <c r="K18" s="5" t="s">
        <v>1448</v>
      </c>
      <c r="L18" s="6" t="s">
        <v>6</v>
      </c>
      <c r="M18" s="6" t="s">
        <v>7</v>
      </c>
      <c r="N18" s="31">
        <v>1125</v>
      </c>
      <c r="O18" s="31">
        <v>2125</v>
      </c>
      <c r="P18" s="16">
        <f t="shared" ref="P18:P35" si="1">N18*O18*0.000001</f>
        <v>2.390625</v>
      </c>
      <c r="Q18" s="12">
        <v>4.5</v>
      </c>
      <c r="R18" s="12"/>
      <c r="S18" s="13">
        <v>10.59</v>
      </c>
      <c r="T18" s="12">
        <v>3</v>
      </c>
      <c r="U18" s="16">
        <f>S18*T18-P18-Q18-X18-Y18</f>
        <v>12.574874999999999</v>
      </c>
      <c r="V18" s="12"/>
      <c r="W18" s="12"/>
      <c r="X18" s="13">
        <f>(S18-(N18/1000))*1.3</f>
        <v>12.304500000000001</v>
      </c>
      <c r="Y18" s="12"/>
    </row>
    <row r="19" spans="1:25" ht="30" x14ac:dyDescent="0.25">
      <c r="A19" s="139" t="s">
        <v>0</v>
      </c>
      <c r="B19" s="139" t="s">
        <v>361</v>
      </c>
      <c r="C19" s="139" t="s">
        <v>1466</v>
      </c>
      <c r="D19" s="101" t="s">
        <v>3</v>
      </c>
      <c r="E19" s="190">
        <v>7.3</v>
      </c>
      <c r="F19" s="139" t="s">
        <v>4</v>
      </c>
      <c r="G19" s="5" t="s">
        <v>77</v>
      </c>
      <c r="H19" s="181" t="s">
        <v>738</v>
      </c>
      <c r="I19" s="6"/>
      <c r="J19" s="6" t="s">
        <v>194</v>
      </c>
      <c r="K19" s="21" t="s">
        <v>1448</v>
      </c>
      <c r="L19" s="6" t="s">
        <v>6</v>
      </c>
      <c r="M19" s="6" t="s">
        <v>7</v>
      </c>
      <c r="N19" s="31">
        <v>4000</v>
      </c>
      <c r="O19" s="31">
        <v>2125</v>
      </c>
      <c r="P19" s="16">
        <f t="shared" si="1"/>
        <v>8.5</v>
      </c>
      <c r="Q19" s="12"/>
      <c r="R19" s="12"/>
      <c r="S19" s="13">
        <v>12.75</v>
      </c>
      <c r="T19" s="12">
        <v>2.7</v>
      </c>
      <c r="U19" s="16">
        <f t="shared" ref="U19:U21" si="2">S19*T19-P19-Q19-X19-Y19</f>
        <v>14.550000000000004</v>
      </c>
      <c r="V19" s="12"/>
      <c r="W19" s="12"/>
      <c r="X19" s="13">
        <f>(S19-(N19/1000))*1.3</f>
        <v>11.375</v>
      </c>
      <c r="Y19" s="12"/>
    </row>
    <row r="20" spans="1:25" ht="30" x14ac:dyDescent="0.25">
      <c r="A20" s="139" t="s">
        <v>0</v>
      </c>
      <c r="B20" s="139" t="s">
        <v>361</v>
      </c>
      <c r="C20" s="139" t="s">
        <v>1467</v>
      </c>
      <c r="D20" s="101" t="s">
        <v>362</v>
      </c>
      <c r="E20" s="190">
        <v>19.399999999999999</v>
      </c>
      <c r="F20" s="139" t="s">
        <v>4</v>
      </c>
      <c r="G20" s="5" t="s">
        <v>77</v>
      </c>
      <c r="H20" s="181" t="s">
        <v>738</v>
      </c>
      <c r="I20" s="6"/>
      <c r="J20" s="6" t="s">
        <v>194</v>
      </c>
      <c r="K20" s="21" t="s">
        <v>1448</v>
      </c>
      <c r="L20" s="6" t="s">
        <v>6</v>
      </c>
      <c r="M20" s="6" t="s">
        <v>7</v>
      </c>
      <c r="N20" s="31">
        <v>3000</v>
      </c>
      <c r="O20" s="31">
        <v>2125</v>
      </c>
      <c r="P20" s="16">
        <f t="shared" si="1"/>
        <v>6.375</v>
      </c>
      <c r="Q20" s="12"/>
      <c r="R20" s="12"/>
      <c r="S20" s="13">
        <v>19.64</v>
      </c>
      <c r="T20" s="12">
        <v>3</v>
      </c>
      <c r="U20" s="16">
        <f t="shared" si="2"/>
        <v>30.913</v>
      </c>
      <c r="V20" s="12"/>
      <c r="W20" s="12"/>
      <c r="X20" s="13">
        <f>(S20-(N20/1000))*1.3</f>
        <v>21.632000000000001</v>
      </c>
      <c r="Y20" s="12"/>
    </row>
    <row r="21" spans="1:25" ht="30" x14ac:dyDescent="0.25">
      <c r="A21" s="139" t="s">
        <v>0</v>
      </c>
      <c r="B21" s="139" t="s">
        <v>361</v>
      </c>
      <c r="C21" s="139" t="s">
        <v>1468</v>
      </c>
      <c r="D21" s="101" t="s">
        <v>889</v>
      </c>
      <c r="E21" s="190">
        <v>20</v>
      </c>
      <c r="F21" s="139" t="s">
        <v>4</v>
      </c>
      <c r="G21" s="5" t="s">
        <v>77</v>
      </c>
      <c r="H21" s="181" t="s">
        <v>738</v>
      </c>
      <c r="I21" s="6"/>
      <c r="J21" s="6" t="s">
        <v>194</v>
      </c>
      <c r="K21" s="21" t="s">
        <v>1448</v>
      </c>
      <c r="L21" s="6" t="s">
        <v>6</v>
      </c>
      <c r="M21" s="6" t="s">
        <v>7</v>
      </c>
      <c r="N21" s="31">
        <v>5900</v>
      </c>
      <c r="O21" s="31">
        <v>2125</v>
      </c>
      <c r="P21" s="16">
        <f t="shared" si="1"/>
        <v>12.5375</v>
      </c>
      <c r="Q21" s="12">
        <v>4.5</v>
      </c>
      <c r="R21" s="12"/>
      <c r="S21" s="13">
        <v>20.2</v>
      </c>
      <c r="T21" s="12">
        <v>3</v>
      </c>
      <c r="U21" s="16">
        <f t="shared" si="2"/>
        <v>24.972499999999993</v>
      </c>
      <c r="V21" s="12"/>
      <c r="W21" s="12"/>
      <c r="X21" s="13">
        <f>(S21-(N21/1000))*1.3</f>
        <v>18.59</v>
      </c>
      <c r="Y21" s="12"/>
    </row>
    <row r="22" spans="1:25" ht="30" x14ac:dyDescent="0.25">
      <c r="A22" s="1" t="s">
        <v>0</v>
      </c>
      <c r="B22" s="1" t="s">
        <v>278</v>
      </c>
      <c r="C22" s="1" t="s">
        <v>1469</v>
      </c>
      <c r="D22" s="28" t="s">
        <v>190</v>
      </c>
      <c r="E22" s="29">
        <v>81.599999999999994</v>
      </c>
      <c r="F22" s="1" t="s">
        <v>4</v>
      </c>
      <c r="G22" s="5" t="s">
        <v>77</v>
      </c>
      <c r="H22" s="181" t="s">
        <v>738</v>
      </c>
      <c r="I22" s="6"/>
      <c r="J22" s="6" t="s">
        <v>194</v>
      </c>
      <c r="K22" s="21" t="s">
        <v>1448</v>
      </c>
      <c r="L22" s="6" t="s">
        <v>6</v>
      </c>
      <c r="M22" s="6" t="s">
        <v>7</v>
      </c>
      <c r="N22" s="31">
        <v>16500</v>
      </c>
      <c r="O22" s="31">
        <v>2125</v>
      </c>
      <c r="P22" s="16">
        <f t="shared" si="1"/>
        <v>35.0625</v>
      </c>
      <c r="Q22" s="12">
        <v>17.579999999999998</v>
      </c>
      <c r="R22" s="12"/>
      <c r="S22" s="13">
        <v>68.680000000000007</v>
      </c>
      <c r="T22" s="12">
        <v>3</v>
      </c>
      <c r="U22" s="13">
        <f>S22*T22-X22</f>
        <v>73.246499999999969</v>
      </c>
      <c r="V22" s="12"/>
      <c r="W22" s="12"/>
      <c r="X22" s="13">
        <f>S22*2.7-P22-Q22</f>
        <v>132.79350000000005</v>
      </c>
      <c r="Y22" s="12"/>
    </row>
    <row r="23" spans="1:25" ht="30" x14ac:dyDescent="0.25">
      <c r="A23" s="1" t="s">
        <v>0</v>
      </c>
      <c r="B23" s="1" t="s">
        <v>278</v>
      </c>
      <c r="C23" s="1" t="s">
        <v>1470</v>
      </c>
      <c r="D23" s="28" t="s">
        <v>1456</v>
      </c>
      <c r="E23" s="29">
        <v>63.8</v>
      </c>
      <c r="F23" s="1" t="s">
        <v>4</v>
      </c>
      <c r="G23" s="5" t="s">
        <v>77</v>
      </c>
      <c r="H23" s="181" t="s">
        <v>738</v>
      </c>
      <c r="I23" s="6"/>
      <c r="J23" s="6" t="s">
        <v>194</v>
      </c>
      <c r="K23" s="21" t="s">
        <v>1448</v>
      </c>
      <c r="L23" s="6" t="s">
        <v>6</v>
      </c>
      <c r="M23" s="6" t="s">
        <v>7</v>
      </c>
      <c r="N23" s="31"/>
      <c r="O23" s="31"/>
      <c r="P23" s="16">
        <f t="shared" si="1"/>
        <v>0</v>
      </c>
      <c r="Q23" s="12"/>
      <c r="R23" s="12"/>
      <c r="S23" s="13"/>
      <c r="T23" s="12">
        <v>3</v>
      </c>
      <c r="U23" s="13"/>
      <c r="V23" s="12"/>
      <c r="W23" s="12"/>
      <c r="X23" s="13"/>
      <c r="Y23" s="12"/>
    </row>
    <row r="24" spans="1:25" ht="30" x14ac:dyDescent="0.25">
      <c r="A24" s="1" t="s">
        <v>0</v>
      </c>
      <c r="B24" s="1" t="s">
        <v>278</v>
      </c>
      <c r="C24" s="1" t="s">
        <v>1471</v>
      </c>
      <c r="D24" s="28" t="s">
        <v>3</v>
      </c>
      <c r="E24" s="29">
        <v>30.8</v>
      </c>
      <c r="F24" s="1" t="s">
        <v>4</v>
      </c>
      <c r="G24" s="5" t="s">
        <v>77</v>
      </c>
      <c r="H24" s="181" t="s">
        <v>738</v>
      </c>
      <c r="I24" s="6"/>
      <c r="J24" s="6" t="s">
        <v>194</v>
      </c>
      <c r="K24" s="21" t="s">
        <v>1448</v>
      </c>
      <c r="L24" s="6" t="s">
        <v>6</v>
      </c>
      <c r="M24" s="6" t="s">
        <v>7</v>
      </c>
      <c r="N24" s="31">
        <v>10600</v>
      </c>
      <c r="O24" s="31">
        <v>2125</v>
      </c>
      <c r="P24" s="16">
        <f t="shared" si="1"/>
        <v>22.524999999999999</v>
      </c>
      <c r="Q24" s="12"/>
      <c r="R24" s="12"/>
      <c r="S24" s="13">
        <v>23.98</v>
      </c>
      <c r="T24" s="12">
        <v>3</v>
      </c>
      <c r="U24" s="13">
        <f>S24*T24-X24</f>
        <v>29.718999999999987</v>
      </c>
      <c r="V24" s="12"/>
      <c r="W24" s="12"/>
      <c r="X24" s="13">
        <f>S24*2.7-P24-Q24</f>
        <v>42.221000000000011</v>
      </c>
      <c r="Y24" s="12"/>
    </row>
    <row r="25" spans="1:25" ht="30" x14ac:dyDescent="0.25">
      <c r="A25" s="1" t="s">
        <v>0</v>
      </c>
      <c r="B25" s="1" t="s">
        <v>278</v>
      </c>
      <c r="C25" s="1" t="s">
        <v>1472</v>
      </c>
      <c r="D25" s="28" t="s">
        <v>1473</v>
      </c>
      <c r="E25" s="29">
        <v>22.4</v>
      </c>
      <c r="F25" s="1" t="s">
        <v>4</v>
      </c>
      <c r="G25" s="5" t="s">
        <v>77</v>
      </c>
      <c r="H25" s="181" t="s">
        <v>738</v>
      </c>
      <c r="I25" s="6"/>
      <c r="J25" s="6" t="s">
        <v>194</v>
      </c>
      <c r="K25" s="21" t="s">
        <v>1448</v>
      </c>
      <c r="L25" s="6" t="s">
        <v>6</v>
      </c>
      <c r="M25" s="6" t="s">
        <v>7</v>
      </c>
      <c r="N25" s="31">
        <v>1350</v>
      </c>
      <c r="O25" s="31">
        <v>2125</v>
      </c>
      <c r="P25" s="16">
        <f t="shared" si="1"/>
        <v>2.8687499999999999</v>
      </c>
      <c r="Q25" s="12"/>
      <c r="R25" s="12"/>
      <c r="S25" s="13">
        <v>17.100000000000001</v>
      </c>
      <c r="T25" s="12">
        <v>3.9</v>
      </c>
      <c r="U25" s="16">
        <f t="shared" ref="U25:U29" si="3">S25*T25-P25-Q25-X25-Y25</f>
        <v>63.821249999999999</v>
      </c>
      <c r="V25" s="12"/>
      <c r="W25" s="12"/>
      <c r="X25" s="13"/>
      <c r="Y25" s="12"/>
    </row>
    <row r="26" spans="1:25" ht="30" x14ac:dyDescent="0.25">
      <c r="A26" s="1" t="s">
        <v>0</v>
      </c>
      <c r="B26" s="1" t="s">
        <v>278</v>
      </c>
      <c r="C26" s="1" t="s">
        <v>1474</v>
      </c>
      <c r="D26" s="28" t="s">
        <v>1475</v>
      </c>
      <c r="E26" s="29">
        <v>4.8</v>
      </c>
      <c r="F26" s="1" t="s">
        <v>4</v>
      </c>
      <c r="G26" s="5" t="s">
        <v>77</v>
      </c>
      <c r="H26" s="181" t="s">
        <v>738</v>
      </c>
      <c r="I26" s="6"/>
      <c r="J26" s="6" t="s">
        <v>194</v>
      </c>
      <c r="K26" s="21" t="s">
        <v>1448</v>
      </c>
      <c r="L26" s="6" t="s">
        <v>6</v>
      </c>
      <c r="M26" s="6" t="s">
        <v>7</v>
      </c>
      <c r="N26" s="31">
        <v>1500</v>
      </c>
      <c r="O26" s="31">
        <v>2125</v>
      </c>
      <c r="P26" s="16">
        <f t="shared" si="1"/>
        <v>3.1875</v>
      </c>
      <c r="Q26" s="12"/>
      <c r="R26" s="12"/>
      <c r="S26" s="13">
        <v>28.51</v>
      </c>
      <c r="T26" s="12">
        <v>2.6</v>
      </c>
      <c r="U26" s="16">
        <f t="shared" si="3"/>
        <v>70.938500000000005</v>
      </c>
      <c r="V26" s="12"/>
      <c r="W26" s="12"/>
      <c r="X26" s="13"/>
      <c r="Y26" s="12"/>
    </row>
    <row r="27" spans="1:25" ht="30" x14ac:dyDescent="0.25">
      <c r="A27" s="139" t="s">
        <v>0</v>
      </c>
      <c r="B27" s="139" t="s">
        <v>228</v>
      </c>
      <c r="C27" s="139" t="s">
        <v>1476</v>
      </c>
      <c r="D27" s="101" t="s">
        <v>3</v>
      </c>
      <c r="E27" s="190">
        <v>11.3</v>
      </c>
      <c r="F27" s="139" t="s">
        <v>4</v>
      </c>
      <c r="G27" s="5" t="s">
        <v>77</v>
      </c>
      <c r="H27" s="181" t="s">
        <v>738</v>
      </c>
      <c r="I27" s="6"/>
      <c r="J27" s="6" t="s">
        <v>194</v>
      </c>
      <c r="K27" s="21" t="s">
        <v>1448</v>
      </c>
      <c r="L27" s="6" t="s">
        <v>81</v>
      </c>
      <c r="M27" s="6" t="s">
        <v>7</v>
      </c>
      <c r="N27" s="31">
        <v>1500</v>
      </c>
      <c r="O27" s="31">
        <v>2125</v>
      </c>
      <c r="P27" s="16">
        <f t="shared" si="1"/>
        <v>3.1875</v>
      </c>
      <c r="Q27" s="12">
        <v>4.5</v>
      </c>
      <c r="R27" s="12"/>
      <c r="S27" s="13">
        <v>13.72</v>
      </c>
      <c r="T27" s="12">
        <v>3</v>
      </c>
      <c r="U27" s="16">
        <f t="shared" si="3"/>
        <v>17.586500000000001</v>
      </c>
      <c r="V27" s="12"/>
      <c r="W27" s="12"/>
      <c r="X27" s="13">
        <f>(S27-(N27/1000))*1.3</f>
        <v>15.886000000000001</v>
      </c>
      <c r="Y27" s="12"/>
    </row>
    <row r="28" spans="1:25" ht="30" x14ac:dyDescent="0.25">
      <c r="A28" s="203" t="s">
        <v>0</v>
      </c>
      <c r="B28" s="203" t="s">
        <v>228</v>
      </c>
      <c r="C28" s="203" t="s">
        <v>1477</v>
      </c>
      <c r="D28" s="83" t="s">
        <v>1478</v>
      </c>
      <c r="E28" s="204">
        <v>21.2</v>
      </c>
      <c r="F28" s="203" t="s">
        <v>4</v>
      </c>
      <c r="G28" s="62" t="s">
        <v>77</v>
      </c>
      <c r="H28" s="181" t="s">
        <v>738</v>
      </c>
      <c r="I28" s="8"/>
      <c r="J28" s="8" t="s">
        <v>194</v>
      </c>
      <c r="K28" s="21" t="s">
        <v>1448</v>
      </c>
      <c r="L28" s="8" t="s">
        <v>6</v>
      </c>
      <c r="M28" s="8" t="s">
        <v>7</v>
      </c>
      <c r="N28" s="9">
        <v>5900</v>
      </c>
      <c r="O28" s="9">
        <v>2125</v>
      </c>
      <c r="P28" s="71">
        <f t="shared" si="1"/>
        <v>12.5375</v>
      </c>
      <c r="Q28" s="56">
        <v>4.5</v>
      </c>
      <c r="R28" s="56"/>
      <c r="S28" s="57">
        <v>20.88</v>
      </c>
      <c r="T28" s="56">
        <v>3</v>
      </c>
      <c r="U28" s="71">
        <f t="shared" si="3"/>
        <v>26.128499999999999</v>
      </c>
      <c r="V28" s="56"/>
      <c r="W28" s="56"/>
      <c r="X28" s="57">
        <f>(S28-(N28/1000))*1.3</f>
        <v>19.474</v>
      </c>
      <c r="Y28" s="56"/>
    </row>
    <row r="29" spans="1:25" s="48" customFormat="1" ht="30" x14ac:dyDescent="0.25">
      <c r="A29" s="139" t="s">
        <v>0</v>
      </c>
      <c r="B29" s="139" t="s">
        <v>228</v>
      </c>
      <c r="C29" s="139" t="s">
        <v>1479</v>
      </c>
      <c r="D29" s="101" t="s">
        <v>362</v>
      </c>
      <c r="E29" s="190">
        <v>12.4</v>
      </c>
      <c r="F29" s="139" t="s">
        <v>4</v>
      </c>
      <c r="G29" s="5" t="s">
        <v>77</v>
      </c>
      <c r="H29" s="181" t="s">
        <v>738</v>
      </c>
      <c r="I29" s="6"/>
      <c r="J29" s="6" t="s">
        <v>194</v>
      </c>
      <c r="K29" s="21" t="s">
        <v>1448</v>
      </c>
      <c r="L29" s="6" t="s">
        <v>6</v>
      </c>
      <c r="M29" s="6" t="s">
        <v>7</v>
      </c>
      <c r="N29" s="31">
        <v>3000</v>
      </c>
      <c r="O29" s="31">
        <v>2125</v>
      </c>
      <c r="P29" s="16">
        <f t="shared" si="1"/>
        <v>6.375</v>
      </c>
      <c r="Q29" s="12"/>
      <c r="R29" s="12"/>
      <c r="S29" s="13">
        <v>14.18</v>
      </c>
      <c r="T29" s="12">
        <v>2.7</v>
      </c>
      <c r="U29" s="16">
        <f t="shared" si="3"/>
        <v>17.377000000000002</v>
      </c>
      <c r="V29" s="12"/>
      <c r="W29" s="12"/>
      <c r="X29" s="13">
        <f>(S29-(N29/1000))*1.3</f>
        <v>14.534000000000001</v>
      </c>
      <c r="Y29" s="12"/>
    </row>
    <row r="30" spans="1:25" s="116" customFormat="1" ht="30" x14ac:dyDescent="0.25">
      <c r="A30" s="7" t="s">
        <v>0</v>
      </c>
      <c r="B30" s="7" t="s">
        <v>1</v>
      </c>
      <c r="C30" s="23" t="s">
        <v>76</v>
      </c>
      <c r="D30" s="52" t="s">
        <v>740</v>
      </c>
      <c r="E30" s="118">
        <v>132</v>
      </c>
      <c r="F30" s="7" t="s">
        <v>4</v>
      </c>
      <c r="G30" s="52" t="s">
        <v>77</v>
      </c>
      <c r="H30" s="181" t="s">
        <v>738</v>
      </c>
      <c r="I30" s="7"/>
      <c r="J30" s="23"/>
      <c r="K30" s="53" t="s">
        <v>78</v>
      </c>
      <c r="L30" s="53" t="s">
        <v>6</v>
      </c>
      <c r="M30" s="7" t="s">
        <v>7</v>
      </c>
      <c r="N30" s="54">
        <v>7100</v>
      </c>
      <c r="O30" s="307">
        <v>2100</v>
      </c>
      <c r="P30" s="38">
        <f t="shared" si="1"/>
        <v>14.91</v>
      </c>
      <c r="Q30" s="55"/>
      <c r="R30" s="55"/>
      <c r="S30" s="37">
        <v>39.31</v>
      </c>
      <c r="T30" s="55">
        <v>2.7</v>
      </c>
      <c r="U30" s="37"/>
      <c r="V30" s="55"/>
      <c r="W30" s="55"/>
      <c r="X30" s="119">
        <f>S30*T30-P30-Q30-(Y30/2)</f>
        <v>63.012000000000015</v>
      </c>
      <c r="Y30" s="55">
        <v>56.43</v>
      </c>
    </row>
    <row r="31" spans="1:25" s="116" customFormat="1" x14ac:dyDescent="0.25">
      <c r="A31" s="7" t="s">
        <v>0</v>
      </c>
      <c r="B31" s="7" t="s">
        <v>37</v>
      </c>
      <c r="C31" s="23" t="s">
        <v>82</v>
      </c>
      <c r="D31" s="52" t="s">
        <v>739</v>
      </c>
      <c r="E31" s="118">
        <v>10.050000000000001</v>
      </c>
      <c r="F31" s="7" t="s">
        <v>4</v>
      </c>
      <c r="G31" s="52" t="s">
        <v>77</v>
      </c>
      <c r="H31" s="181" t="s">
        <v>738</v>
      </c>
      <c r="I31" s="7"/>
      <c r="J31" s="23"/>
      <c r="K31" s="53"/>
      <c r="L31" s="53" t="s">
        <v>40</v>
      </c>
      <c r="M31" s="7" t="s">
        <v>84</v>
      </c>
      <c r="N31" s="54">
        <v>8330</v>
      </c>
      <c r="O31" s="307">
        <v>2700</v>
      </c>
      <c r="P31" s="38">
        <f>(N31*O31*0.000001)+4.32</f>
        <v>26.811</v>
      </c>
      <c r="Q31" s="38"/>
      <c r="R31" s="55"/>
      <c r="S31" s="37">
        <v>12.86</v>
      </c>
      <c r="T31" s="55">
        <v>2.7</v>
      </c>
      <c r="U31" s="38">
        <f t="shared" ref="U31" si="4">S31*T31-P31-Q31-X31-Y31</f>
        <v>7.9110000000000014</v>
      </c>
      <c r="V31" s="55"/>
      <c r="W31" s="55"/>
      <c r="X31" s="37"/>
      <c r="Y31" s="55"/>
    </row>
    <row r="32" spans="1:25" s="48" customFormat="1" ht="30" x14ac:dyDescent="0.25">
      <c r="A32" s="44" t="s">
        <v>0</v>
      </c>
      <c r="B32" s="44" t="s">
        <v>1</v>
      </c>
      <c r="C32" s="44" t="s">
        <v>1480</v>
      </c>
      <c r="D32" s="45" t="s">
        <v>190</v>
      </c>
      <c r="E32" s="46">
        <v>151.69999999999999</v>
      </c>
      <c r="F32" s="44" t="s">
        <v>4</v>
      </c>
      <c r="G32" s="21" t="s">
        <v>77</v>
      </c>
      <c r="H32" s="181" t="s">
        <v>738</v>
      </c>
      <c r="I32" s="22"/>
      <c r="J32" s="22" t="s">
        <v>194</v>
      </c>
      <c r="K32" s="21" t="s">
        <v>1448</v>
      </c>
      <c r="L32" s="22" t="s">
        <v>6</v>
      </c>
      <c r="M32" s="22"/>
      <c r="N32" s="10"/>
      <c r="O32" s="10"/>
      <c r="P32" s="11">
        <f t="shared" si="1"/>
        <v>0</v>
      </c>
      <c r="Q32" s="24"/>
      <c r="R32" s="24"/>
      <c r="S32" s="25">
        <v>52.64</v>
      </c>
      <c r="T32" s="24">
        <v>5.9</v>
      </c>
      <c r="U32" s="25"/>
      <c r="V32" s="24"/>
      <c r="W32" s="24"/>
      <c r="X32" s="25"/>
      <c r="Y32" s="24">
        <f>(S32-7)*T32</f>
        <v>269.27600000000001</v>
      </c>
    </row>
    <row r="33" spans="1:25" ht="30" x14ac:dyDescent="0.25">
      <c r="A33" s="139" t="s">
        <v>0</v>
      </c>
      <c r="B33" s="139" t="s">
        <v>183</v>
      </c>
      <c r="C33" s="139" t="s">
        <v>1481</v>
      </c>
      <c r="D33" s="101" t="s">
        <v>1482</v>
      </c>
      <c r="E33" s="190">
        <v>24.3</v>
      </c>
      <c r="F33" s="139" t="s">
        <v>4</v>
      </c>
      <c r="G33" s="5" t="s">
        <v>77</v>
      </c>
      <c r="H33" s="181" t="s">
        <v>738</v>
      </c>
      <c r="I33" s="6"/>
      <c r="J33" s="6" t="s">
        <v>194</v>
      </c>
      <c r="K33" s="21" t="s">
        <v>1448</v>
      </c>
      <c r="L33" s="179" t="s">
        <v>583</v>
      </c>
      <c r="M33" s="179" t="s">
        <v>7</v>
      </c>
      <c r="N33" s="161">
        <v>1500</v>
      </c>
      <c r="O33" s="161">
        <v>2400</v>
      </c>
      <c r="P33" s="16">
        <f t="shared" si="1"/>
        <v>3.5999999999999996</v>
      </c>
      <c r="Q33" s="12">
        <v>19.32</v>
      </c>
      <c r="R33" s="12"/>
      <c r="S33" s="13">
        <v>30.5</v>
      </c>
      <c r="T33" s="12">
        <v>3</v>
      </c>
      <c r="U33" s="16">
        <f t="shared" ref="U33:U35" si="5">S33*T33-P33-Q33-X33-Y33</f>
        <v>68.580000000000013</v>
      </c>
      <c r="V33" s="12"/>
      <c r="W33" s="12"/>
      <c r="X33" s="13"/>
      <c r="Y33" s="12"/>
    </row>
    <row r="34" spans="1:25" ht="30" x14ac:dyDescent="0.25">
      <c r="A34" s="139" t="s">
        <v>0</v>
      </c>
      <c r="B34" s="139" t="s">
        <v>183</v>
      </c>
      <c r="C34" s="139" t="s">
        <v>1483</v>
      </c>
      <c r="D34" s="101" t="s">
        <v>1484</v>
      </c>
      <c r="E34" s="190">
        <v>19.5</v>
      </c>
      <c r="F34" s="139" t="s">
        <v>4</v>
      </c>
      <c r="G34" s="5" t="s">
        <v>77</v>
      </c>
      <c r="H34" s="181" t="s">
        <v>738</v>
      </c>
      <c r="I34" s="6"/>
      <c r="J34" s="6" t="s">
        <v>194</v>
      </c>
      <c r="K34" s="21" t="s">
        <v>1448</v>
      </c>
      <c r="L34" s="179" t="s">
        <v>583</v>
      </c>
      <c r="M34" s="179" t="s">
        <v>7</v>
      </c>
      <c r="N34" s="161">
        <v>1500</v>
      </c>
      <c r="O34" s="161">
        <v>2400</v>
      </c>
      <c r="P34" s="16">
        <f t="shared" si="1"/>
        <v>3.5999999999999996</v>
      </c>
      <c r="Q34" s="12">
        <v>9.6</v>
      </c>
      <c r="R34" s="12"/>
      <c r="S34" s="13">
        <v>27.71</v>
      </c>
      <c r="T34" s="12">
        <v>3</v>
      </c>
      <c r="U34" s="16">
        <f t="shared" si="5"/>
        <v>69.930000000000007</v>
      </c>
      <c r="V34" s="12"/>
      <c r="W34" s="12"/>
      <c r="X34" s="13"/>
      <c r="Y34" s="12"/>
    </row>
    <row r="35" spans="1:25" ht="30" x14ac:dyDescent="0.25">
      <c r="A35" s="139" t="s">
        <v>0</v>
      </c>
      <c r="B35" s="139" t="s">
        <v>183</v>
      </c>
      <c r="C35" s="139" t="s">
        <v>1485</v>
      </c>
      <c r="D35" s="101" t="s">
        <v>1486</v>
      </c>
      <c r="E35" s="190">
        <v>18.7</v>
      </c>
      <c r="F35" s="139" t="s">
        <v>4</v>
      </c>
      <c r="G35" s="5" t="s">
        <v>77</v>
      </c>
      <c r="H35" s="181" t="s">
        <v>738</v>
      </c>
      <c r="I35" s="6"/>
      <c r="J35" s="6" t="s">
        <v>194</v>
      </c>
      <c r="K35" s="21" t="s">
        <v>1448</v>
      </c>
      <c r="L35" s="179" t="s">
        <v>583</v>
      </c>
      <c r="M35" s="179" t="s">
        <v>7</v>
      </c>
      <c r="N35" s="161">
        <v>1500</v>
      </c>
      <c r="O35" s="161">
        <v>2400</v>
      </c>
      <c r="P35" s="16">
        <f t="shared" si="1"/>
        <v>3.5999999999999996</v>
      </c>
      <c r="Q35" s="12">
        <v>9.6</v>
      </c>
      <c r="R35" s="12"/>
      <c r="S35" s="13">
        <v>27.73</v>
      </c>
      <c r="T35" s="12">
        <v>3</v>
      </c>
      <c r="U35" s="16">
        <f t="shared" si="5"/>
        <v>69.990000000000009</v>
      </c>
      <c r="V35" s="12"/>
      <c r="W35" s="12"/>
      <c r="X35" s="13"/>
      <c r="Y35" s="12"/>
    </row>
    <row r="36" spans="1:25" s="278" customFormat="1" ht="17.25" x14ac:dyDescent="0.25">
      <c r="B36" s="278" t="s">
        <v>1552</v>
      </c>
      <c r="E36" s="279">
        <f>SUM(E18:E35)</f>
        <v>657.95</v>
      </c>
      <c r="F36" s="278" t="s">
        <v>1560</v>
      </c>
      <c r="H36" s="281"/>
    </row>
    <row r="37" spans="1:25" s="192" customFormat="1" ht="30" x14ac:dyDescent="0.25">
      <c r="A37" s="139" t="s">
        <v>139</v>
      </c>
      <c r="B37" s="139" t="s">
        <v>361</v>
      </c>
      <c r="C37" s="139" t="s">
        <v>1487</v>
      </c>
      <c r="D37" s="139" t="s">
        <v>55</v>
      </c>
      <c r="E37" s="190">
        <v>41.2</v>
      </c>
      <c r="F37" s="139" t="s">
        <v>4</v>
      </c>
      <c r="G37" s="6" t="s">
        <v>77</v>
      </c>
      <c r="H37" s="181" t="s">
        <v>738</v>
      </c>
      <c r="I37" s="5"/>
      <c r="J37" s="6" t="s">
        <v>194</v>
      </c>
      <c r="K37" s="5" t="s">
        <v>1448</v>
      </c>
      <c r="L37" s="6" t="s">
        <v>583</v>
      </c>
      <c r="M37" s="6" t="s">
        <v>7</v>
      </c>
      <c r="N37" s="6">
        <v>12700</v>
      </c>
      <c r="O37" s="6">
        <v>2125</v>
      </c>
      <c r="P37" s="35">
        <f t="shared" ref="P37:P60" si="6">N37*O37*0.000001</f>
        <v>26.987499999999997</v>
      </c>
      <c r="Q37" s="162"/>
      <c r="R37" s="6"/>
      <c r="S37" s="162">
        <v>30.4</v>
      </c>
      <c r="T37" s="35">
        <v>3</v>
      </c>
      <c r="U37" s="16">
        <f t="shared" ref="U37:U38" si="7">S37*T37-P37-Q37-X37-Y37</f>
        <v>64.212499999999991</v>
      </c>
      <c r="V37" s="6"/>
      <c r="W37" s="6"/>
      <c r="X37" s="162"/>
      <c r="Y37" s="162"/>
    </row>
    <row r="38" spans="1:25" ht="30" x14ac:dyDescent="0.25">
      <c r="A38" s="139" t="s">
        <v>139</v>
      </c>
      <c r="B38" s="139" t="s">
        <v>361</v>
      </c>
      <c r="C38" s="139" t="s">
        <v>1488</v>
      </c>
      <c r="D38" s="139" t="s">
        <v>362</v>
      </c>
      <c r="E38" s="190">
        <v>12.4</v>
      </c>
      <c r="F38" s="139" t="s">
        <v>4</v>
      </c>
      <c r="G38" s="6" t="s">
        <v>77</v>
      </c>
      <c r="H38" s="181" t="s">
        <v>738</v>
      </c>
      <c r="I38" s="5"/>
      <c r="J38" s="6" t="s">
        <v>194</v>
      </c>
      <c r="K38" s="21" t="s">
        <v>1448</v>
      </c>
      <c r="L38" s="12" t="s">
        <v>6</v>
      </c>
      <c r="M38" s="12" t="s">
        <v>7</v>
      </c>
      <c r="N38" s="150">
        <v>3000</v>
      </c>
      <c r="O38" s="6">
        <v>2125</v>
      </c>
      <c r="P38" s="35">
        <f t="shared" si="6"/>
        <v>6.375</v>
      </c>
      <c r="Q38" s="13"/>
      <c r="R38" s="12"/>
      <c r="S38" s="13">
        <v>14.3</v>
      </c>
      <c r="T38" s="12">
        <v>2.7</v>
      </c>
      <c r="U38" s="16">
        <f t="shared" si="7"/>
        <v>20.355000000000004</v>
      </c>
      <c r="V38" s="12"/>
      <c r="W38" s="12"/>
      <c r="X38" s="13">
        <v>7.92</v>
      </c>
      <c r="Y38" s="13">
        <v>3.96</v>
      </c>
    </row>
    <row r="39" spans="1:25" ht="30" x14ac:dyDescent="0.25">
      <c r="A39" s="139" t="s">
        <v>139</v>
      </c>
      <c r="B39" s="139" t="s">
        <v>361</v>
      </c>
      <c r="C39" s="139" t="s">
        <v>1489</v>
      </c>
      <c r="D39" s="139" t="s">
        <v>55</v>
      </c>
      <c r="E39" s="190">
        <v>60.4</v>
      </c>
      <c r="F39" s="139" t="s">
        <v>4</v>
      </c>
      <c r="G39" s="6" t="s">
        <v>77</v>
      </c>
      <c r="H39" s="181" t="s">
        <v>738</v>
      </c>
      <c r="I39" s="5"/>
      <c r="J39" s="6" t="s">
        <v>194</v>
      </c>
      <c r="K39" s="21" t="s">
        <v>1448</v>
      </c>
      <c r="L39" s="12" t="s">
        <v>6</v>
      </c>
      <c r="M39" s="12" t="s">
        <v>7</v>
      </c>
      <c r="N39" s="150">
        <v>5700</v>
      </c>
      <c r="O39" s="6">
        <v>2125</v>
      </c>
      <c r="P39" s="35">
        <f t="shared" si="6"/>
        <v>12.112499999999999</v>
      </c>
      <c r="Q39" s="13">
        <v>17.829999999999998</v>
      </c>
      <c r="R39" s="12">
        <v>1.18</v>
      </c>
      <c r="S39" s="13">
        <v>41.66</v>
      </c>
      <c r="T39" s="12">
        <v>3</v>
      </c>
      <c r="U39" s="16">
        <f>S39*T39-P39-Q39-X39-Y39</f>
        <v>95.037499999999994</v>
      </c>
      <c r="V39" s="12"/>
      <c r="W39" s="12"/>
      <c r="X39" s="13"/>
      <c r="Y39" s="13"/>
    </row>
    <row r="40" spans="1:25" ht="30" x14ac:dyDescent="0.25">
      <c r="A40" s="1" t="s">
        <v>139</v>
      </c>
      <c r="B40" s="1" t="s">
        <v>278</v>
      </c>
      <c r="C40" s="1" t="s">
        <v>1490</v>
      </c>
      <c r="D40" s="1" t="s">
        <v>3</v>
      </c>
      <c r="E40" s="29">
        <v>96</v>
      </c>
      <c r="F40" s="1" t="s">
        <v>4</v>
      </c>
      <c r="G40" s="6" t="s">
        <v>77</v>
      </c>
      <c r="H40" s="181" t="s">
        <v>738</v>
      </c>
      <c r="I40" s="5"/>
      <c r="J40" s="6" t="s">
        <v>194</v>
      </c>
      <c r="K40" s="21" t="s">
        <v>1448</v>
      </c>
      <c r="L40" s="12" t="s">
        <v>6</v>
      </c>
      <c r="M40" s="12" t="s">
        <v>7</v>
      </c>
      <c r="N40" s="150">
        <v>11465</v>
      </c>
      <c r="O40" s="6">
        <v>2125</v>
      </c>
      <c r="P40" s="35">
        <f t="shared" si="6"/>
        <v>24.363125</v>
      </c>
      <c r="Q40" s="13"/>
      <c r="R40" s="12"/>
      <c r="S40" s="13">
        <v>47.1</v>
      </c>
      <c r="T40" s="12">
        <v>3</v>
      </c>
      <c r="U40" s="16">
        <f>S40*(T40-2.7)</f>
        <v>14.129999999999992</v>
      </c>
      <c r="V40" s="12"/>
      <c r="W40" s="12"/>
      <c r="X40" s="13">
        <f>S40*2.7-P40-Y40</f>
        <v>88.726875000000021</v>
      </c>
      <c r="Y40" s="13">
        <v>14.08</v>
      </c>
    </row>
    <row r="41" spans="1:25" ht="30" x14ac:dyDescent="0.25">
      <c r="A41" s="1" t="s">
        <v>139</v>
      </c>
      <c r="B41" s="1" t="s">
        <v>278</v>
      </c>
      <c r="C41" s="1" t="s">
        <v>1491</v>
      </c>
      <c r="D41" s="1" t="s">
        <v>3</v>
      </c>
      <c r="E41" s="29">
        <v>53</v>
      </c>
      <c r="F41" s="1" t="s">
        <v>4</v>
      </c>
      <c r="G41" s="6" t="s">
        <v>77</v>
      </c>
      <c r="H41" s="181" t="s">
        <v>738</v>
      </c>
      <c r="I41" s="5"/>
      <c r="J41" s="6" t="s">
        <v>194</v>
      </c>
      <c r="K41" s="21" t="s">
        <v>1448</v>
      </c>
      <c r="L41" s="179" t="s">
        <v>6</v>
      </c>
      <c r="M41" s="12" t="s">
        <v>7</v>
      </c>
      <c r="N41" s="150">
        <v>11465</v>
      </c>
      <c r="O41" s="6">
        <v>2125</v>
      </c>
      <c r="P41" s="35">
        <f t="shared" si="6"/>
        <v>24.363125</v>
      </c>
      <c r="Q41" s="13"/>
      <c r="R41" s="12"/>
      <c r="S41" s="13">
        <v>26.21</v>
      </c>
      <c r="T41" s="12">
        <v>3</v>
      </c>
      <c r="U41" s="16">
        <f>S41*(T41-2.7)</f>
        <v>7.862999999999996</v>
      </c>
      <c r="V41" s="12"/>
      <c r="W41" s="12"/>
      <c r="X41" s="13">
        <f>S41*2.7-P41-Y41</f>
        <v>24.423875000000013</v>
      </c>
      <c r="Y41" s="13">
        <v>21.98</v>
      </c>
    </row>
    <row r="42" spans="1:25" ht="30" x14ac:dyDescent="0.25">
      <c r="A42" s="139" t="s">
        <v>139</v>
      </c>
      <c r="B42" s="139" t="s">
        <v>278</v>
      </c>
      <c r="C42" s="139" t="s">
        <v>1492</v>
      </c>
      <c r="D42" s="139" t="s">
        <v>192</v>
      </c>
      <c r="E42" s="190">
        <v>114.4</v>
      </c>
      <c r="F42" s="139" t="s">
        <v>4</v>
      </c>
      <c r="G42" s="6" t="s">
        <v>77</v>
      </c>
      <c r="H42" s="181" t="s">
        <v>738</v>
      </c>
      <c r="I42" s="5"/>
      <c r="J42" s="6" t="s">
        <v>194</v>
      </c>
      <c r="K42" s="21" t="s">
        <v>1448</v>
      </c>
      <c r="L42" s="179" t="s">
        <v>6</v>
      </c>
      <c r="M42" s="12" t="s">
        <v>7</v>
      </c>
      <c r="N42" s="150"/>
      <c r="O42" s="6"/>
      <c r="P42" s="35">
        <f t="shared" si="6"/>
        <v>0</v>
      </c>
      <c r="Q42" s="13"/>
      <c r="R42" s="12"/>
      <c r="S42" s="13">
        <v>56.19</v>
      </c>
      <c r="T42" s="12">
        <v>4.2</v>
      </c>
      <c r="U42" s="16">
        <f>S42*(T42-2.7)</f>
        <v>84.284999999999997</v>
      </c>
      <c r="V42" s="12"/>
      <c r="W42" s="12"/>
      <c r="X42" s="13">
        <f>S42*2.7-P42-Y42</f>
        <v>144.51300000000001</v>
      </c>
      <c r="Y42" s="13">
        <v>7.2</v>
      </c>
    </row>
    <row r="43" spans="1:25" ht="30" x14ac:dyDescent="0.25">
      <c r="A43" s="139" t="s">
        <v>139</v>
      </c>
      <c r="B43" s="139" t="s">
        <v>278</v>
      </c>
      <c r="C43" s="139" t="s">
        <v>1493</v>
      </c>
      <c r="D43" s="139" t="s">
        <v>55</v>
      </c>
      <c r="E43" s="190">
        <v>90.1</v>
      </c>
      <c r="F43" s="139" t="s">
        <v>4</v>
      </c>
      <c r="G43" s="6" t="s">
        <v>77</v>
      </c>
      <c r="H43" s="181" t="s">
        <v>738</v>
      </c>
      <c r="I43" s="5"/>
      <c r="J43" s="6" t="s">
        <v>194</v>
      </c>
      <c r="K43" s="21" t="s">
        <v>1448</v>
      </c>
      <c r="L43" s="179" t="s">
        <v>6</v>
      </c>
      <c r="M43" s="12" t="s">
        <v>7</v>
      </c>
      <c r="N43" s="150">
        <v>2800</v>
      </c>
      <c r="O43" s="6">
        <v>3000</v>
      </c>
      <c r="P43" s="35">
        <f t="shared" si="6"/>
        <v>8.4</v>
      </c>
      <c r="Q43" s="13"/>
      <c r="R43" s="12"/>
      <c r="S43" s="13">
        <v>40.19</v>
      </c>
      <c r="T43" s="12">
        <v>3</v>
      </c>
      <c r="U43" s="16">
        <f t="shared" ref="U43:U51" si="8">S43*T43-P43-Q43-X43-Y43</f>
        <v>112.16999999999999</v>
      </c>
      <c r="V43" s="12"/>
      <c r="W43" s="12"/>
      <c r="X43" s="13"/>
      <c r="Y43" s="13"/>
    </row>
    <row r="44" spans="1:25" ht="30" x14ac:dyDescent="0.25">
      <c r="A44" s="1" t="s">
        <v>139</v>
      </c>
      <c r="B44" s="1" t="s">
        <v>278</v>
      </c>
      <c r="C44" s="1" t="s">
        <v>1494</v>
      </c>
      <c r="D44" s="1" t="s">
        <v>3</v>
      </c>
      <c r="E44" s="29">
        <v>3.4</v>
      </c>
      <c r="F44" s="1" t="s">
        <v>4</v>
      </c>
      <c r="G44" s="6" t="s">
        <v>77</v>
      </c>
      <c r="H44" s="181" t="s">
        <v>738</v>
      </c>
      <c r="I44" s="5"/>
      <c r="J44" s="6" t="s">
        <v>194</v>
      </c>
      <c r="K44" s="21" t="s">
        <v>1448</v>
      </c>
      <c r="L44" s="179" t="s">
        <v>6</v>
      </c>
      <c r="M44" s="12" t="s">
        <v>7</v>
      </c>
      <c r="N44" s="150">
        <v>1350</v>
      </c>
      <c r="O44" s="6">
        <v>2125</v>
      </c>
      <c r="P44" s="35">
        <f t="shared" si="6"/>
        <v>2.8687499999999999</v>
      </c>
      <c r="Q44" s="13"/>
      <c r="R44" s="12"/>
      <c r="S44" s="13">
        <v>7.65</v>
      </c>
      <c r="T44" s="12">
        <v>2.7</v>
      </c>
      <c r="U44" s="16">
        <f t="shared" si="8"/>
        <v>17.786250000000003</v>
      </c>
      <c r="V44" s="12"/>
      <c r="W44" s="12"/>
      <c r="X44" s="13"/>
      <c r="Y44" s="13"/>
    </row>
    <row r="45" spans="1:25" ht="30" x14ac:dyDescent="0.25">
      <c r="A45" s="1" t="s">
        <v>139</v>
      </c>
      <c r="B45" s="1" t="s">
        <v>278</v>
      </c>
      <c r="C45" s="1" t="s">
        <v>1495</v>
      </c>
      <c r="D45" s="1" t="s">
        <v>1496</v>
      </c>
      <c r="E45" s="29">
        <v>14.8</v>
      </c>
      <c r="F45" s="1" t="s">
        <v>4</v>
      </c>
      <c r="G45" s="6" t="s">
        <v>77</v>
      </c>
      <c r="H45" s="181" t="s">
        <v>738</v>
      </c>
      <c r="I45" s="5"/>
      <c r="J45" s="6" t="s">
        <v>194</v>
      </c>
      <c r="K45" s="21" t="s">
        <v>1448</v>
      </c>
      <c r="L45" s="179" t="s">
        <v>6</v>
      </c>
      <c r="M45" s="12" t="s">
        <v>7</v>
      </c>
      <c r="N45" s="150">
        <v>2350</v>
      </c>
      <c r="O45" s="6">
        <v>2125</v>
      </c>
      <c r="P45" s="35">
        <f t="shared" si="6"/>
        <v>4.9937499999999995</v>
      </c>
      <c r="Q45" s="13"/>
      <c r="R45" s="12"/>
      <c r="S45" s="13">
        <v>17.3</v>
      </c>
      <c r="T45" s="12">
        <v>4.2</v>
      </c>
      <c r="U45" s="16">
        <f t="shared" si="8"/>
        <v>67.666250000000005</v>
      </c>
      <c r="V45" s="12"/>
      <c r="W45" s="12"/>
      <c r="X45" s="13"/>
      <c r="Y45" s="13"/>
    </row>
    <row r="46" spans="1:25" ht="30" x14ac:dyDescent="0.25">
      <c r="A46" s="1" t="s">
        <v>139</v>
      </c>
      <c r="B46" s="1" t="s">
        <v>278</v>
      </c>
      <c r="C46" s="1" t="s">
        <v>1497</v>
      </c>
      <c r="D46" s="1" t="s">
        <v>1498</v>
      </c>
      <c r="E46" s="29">
        <v>17.8</v>
      </c>
      <c r="F46" s="1" t="s">
        <v>4</v>
      </c>
      <c r="G46" s="6" t="s">
        <v>77</v>
      </c>
      <c r="H46" s="181" t="s">
        <v>738</v>
      </c>
      <c r="I46" s="5"/>
      <c r="J46" s="6" t="s">
        <v>194</v>
      </c>
      <c r="K46" s="21" t="s">
        <v>1448</v>
      </c>
      <c r="L46" s="179" t="s">
        <v>6</v>
      </c>
      <c r="M46" s="12" t="s">
        <v>7</v>
      </c>
      <c r="N46" s="150">
        <v>1350</v>
      </c>
      <c r="O46" s="6">
        <v>2125</v>
      </c>
      <c r="P46" s="35">
        <f t="shared" si="6"/>
        <v>2.8687499999999999</v>
      </c>
      <c r="Q46" s="13"/>
      <c r="R46" s="12"/>
      <c r="S46" s="13">
        <v>20.38</v>
      </c>
      <c r="T46" s="12">
        <v>4.2</v>
      </c>
      <c r="U46" s="16">
        <f t="shared" si="8"/>
        <v>82.727249999999998</v>
      </c>
      <c r="V46" s="12"/>
      <c r="W46" s="12"/>
      <c r="X46" s="13"/>
      <c r="Y46" s="13"/>
    </row>
    <row r="47" spans="1:25" ht="30" x14ac:dyDescent="0.25">
      <c r="A47" s="1" t="s">
        <v>139</v>
      </c>
      <c r="B47" s="1" t="s">
        <v>278</v>
      </c>
      <c r="C47" s="1" t="s">
        <v>1499</v>
      </c>
      <c r="D47" s="1" t="s">
        <v>362</v>
      </c>
      <c r="E47" s="29">
        <v>8.1999999999999993</v>
      </c>
      <c r="F47" s="1" t="s">
        <v>4</v>
      </c>
      <c r="G47" s="6" t="s">
        <v>77</v>
      </c>
      <c r="H47" s="181" t="s">
        <v>738</v>
      </c>
      <c r="I47" s="5"/>
      <c r="J47" s="6" t="s">
        <v>194</v>
      </c>
      <c r="K47" s="21" t="s">
        <v>1448</v>
      </c>
      <c r="L47" s="12" t="s">
        <v>6</v>
      </c>
      <c r="M47" s="12" t="s">
        <v>7</v>
      </c>
      <c r="N47" s="150">
        <v>4350</v>
      </c>
      <c r="O47" s="6">
        <v>2125</v>
      </c>
      <c r="P47" s="35">
        <f t="shared" si="6"/>
        <v>9.2437500000000004</v>
      </c>
      <c r="Q47" s="13"/>
      <c r="R47" s="12"/>
      <c r="S47" s="13">
        <v>16.309999999999999</v>
      </c>
      <c r="T47" s="12">
        <v>3</v>
      </c>
      <c r="U47" s="16">
        <f t="shared" si="8"/>
        <v>39.686249999999994</v>
      </c>
      <c r="V47" s="12"/>
      <c r="W47" s="12"/>
      <c r="X47" s="13"/>
      <c r="Y47" s="13"/>
    </row>
    <row r="48" spans="1:25" ht="30" x14ac:dyDescent="0.25">
      <c r="A48" s="139" t="s">
        <v>139</v>
      </c>
      <c r="B48" s="139" t="s">
        <v>228</v>
      </c>
      <c r="C48" s="139" t="s">
        <v>1500</v>
      </c>
      <c r="D48" s="139" t="s">
        <v>362</v>
      </c>
      <c r="E48" s="190">
        <v>10.6</v>
      </c>
      <c r="F48" s="139" t="s">
        <v>4</v>
      </c>
      <c r="G48" s="6" t="s">
        <v>77</v>
      </c>
      <c r="H48" s="181" t="s">
        <v>738</v>
      </c>
      <c r="I48" s="5"/>
      <c r="J48" s="6" t="s">
        <v>194</v>
      </c>
      <c r="K48" s="21" t="s">
        <v>1448</v>
      </c>
      <c r="L48" s="179" t="s">
        <v>6</v>
      </c>
      <c r="M48" s="12" t="s">
        <v>7</v>
      </c>
      <c r="N48" s="150">
        <v>3000</v>
      </c>
      <c r="O48" s="6">
        <v>2125</v>
      </c>
      <c r="P48" s="35">
        <f t="shared" si="6"/>
        <v>6.375</v>
      </c>
      <c r="Q48" s="13"/>
      <c r="R48" s="12"/>
      <c r="S48" s="13">
        <v>13.37</v>
      </c>
      <c r="T48" s="12">
        <v>2.7</v>
      </c>
      <c r="U48" s="16">
        <f t="shared" si="8"/>
        <v>29.724000000000004</v>
      </c>
      <c r="V48" s="12"/>
      <c r="W48" s="12"/>
      <c r="X48" s="13"/>
      <c r="Y48" s="13"/>
    </row>
    <row r="49" spans="1:25" ht="30" x14ac:dyDescent="0.25">
      <c r="A49" s="139" t="s">
        <v>139</v>
      </c>
      <c r="B49" s="139" t="s">
        <v>228</v>
      </c>
      <c r="C49" s="139" t="s">
        <v>1501</v>
      </c>
      <c r="D49" s="139" t="s">
        <v>362</v>
      </c>
      <c r="E49" s="190">
        <v>6.6</v>
      </c>
      <c r="F49" s="139" t="s">
        <v>4</v>
      </c>
      <c r="G49" s="6" t="s">
        <v>77</v>
      </c>
      <c r="H49" s="181" t="s">
        <v>738</v>
      </c>
      <c r="I49" s="5"/>
      <c r="J49" s="6" t="s">
        <v>194</v>
      </c>
      <c r="K49" s="21" t="s">
        <v>1448</v>
      </c>
      <c r="L49" s="179" t="s">
        <v>6</v>
      </c>
      <c r="M49" s="179" t="s">
        <v>7</v>
      </c>
      <c r="N49" s="150">
        <v>1500</v>
      </c>
      <c r="O49" s="150">
        <v>2125</v>
      </c>
      <c r="P49" s="35">
        <f t="shared" si="6"/>
        <v>3.1875</v>
      </c>
      <c r="Q49" s="13"/>
      <c r="R49" s="12"/>
      <c r="S49" s="13">
        <v>10.47</v>
      </c>
      <c r="T49" s="12">
        <v>2.7</v>
      </c>
      <c r="U49" s="16">
        <f t="shared" si="8"/>
        <v>25.081500000000002</v>
      </c>
      <c r="V49" s="12"/>
      <c r="W49" s="12"/>
      <c r="X49" s="13"/>
      <c r="Y49" s="13"/>
    </row>
    <row r="50" spans="1:25" ht="30" x14ac:dyDescent="0.25">
      <c r="A50" s="139" t="s">
        <v>139</v>
      </c>
      <c r="B50" s="139" t="s">
        <v>228</v>
      </c>
      <c r="C50" s="139" t="s">
        <v>1502</v>
      </c>
      <c r="D50" s="139" t="s">
        <v>55</v>
      </c>
      <c r="E50" s="190">
        <v>89.8</v>
      </c>
      <c r="F50" s="139" t="s">
        <v>4</v>
      </c>
      <c r="G50" s="6" t="s">
        <v>77</v>
      </c>
      <c r="H50" s="181" t="s">
        <v>738</v>
      </c>
      <c r="I50" s="5"/>
      <c r="J50" s="6" t="s">
        <v>194</v>
      </c>
      <c r="K50" s="21" t="s">
        <v>1448</v>
      </c>
      <c r="L50" s="179" t="s">
        <v>583</v>
      </c>
      <c r="M50" s="179" t="s">
        <v>7</v>
      </c>
      <c r="N50" s="150">
        <v>11700</v>
      </c>
      <c r="O50" s="150">
        <v>2125</v>
      </c>
      <c r="P50" s="35">
        <f t="shared" si="6"/>
        <v>24.862499999999997</v>
      </c>
      <c r="Q50" s="13">
        <v>13.8</v>
      </c>
      <c r="R50" s="12">
        <v>1.1299999999999999</v>
      </c>
      <c r="S50" s="13">
        <v>57.88</v>
      </c>
      <c r="T50" s="12">
        <v>3</v>
      </c>
      <c r="U50" s="16">
        <f t="shared" si="8"/>
        <v>134.97750000000002</v>
      </c>
      <c r="V50" s="12"/>
      <c r="W50" s="12"/>
      <c r="X50" s="13"/>
      <c r="Y50" s="13"/>
    </row>
    <row r="51" spans="1:25" ht="30" x14ac:dyDescent="0.25">
      <c r="A51" s="153" t="s">
        <v>139</v>
      </c>
      <c r="B51" s="153" t="s">
        <v>228</v>
      </c>
      <c r="C51" s="153" t="s">
        <v>1503</v>
      </c>
      <c r="D51" s="153" t="s">
        <v>55</v>
      </c>
      <c r="E51" s="268">
        <v>12.45</v>
      </c>
      <c r="F51" s="153" t="s">
        <v>4</v>
      </c>
      <c r="G51" s="6" t="s">
        <v>77</v>
      </c>
      <c r="H51" s="181" t="s">
        <v>738</v>
      </c>
      <c r="I51" s="5"/>
      <c r="J51" s="6" t="s">
        <v>194</v>
      </c>
      <c r="K51" s="21" t="s">
        <v>1448</v>
      </c>
      <c r="L51" s="179" t="s">
        <v>583</v>
      </c>
      <c r="M51" s="179" t="s">
        <v>7</v>
      </c>
      <c r="N51" s="150">
        <v>2700</v>
      </c>
      <c r="O51" s="150">
        <v>2125</v>
      </c>
      <c r="P51" s="35">
        <f t="shared" si="6"/>
        <v>5.7374999999999998</v>
      </c>
      <c r="Q51" s="13">
        <v>3.45</v>
      </c>
      <c r="R51" s="12">
        <v>1.1299999999999999</v>
      </c>
      <c r="S51" s="13">
        <v>11.61</v>
      </c>
      <c r="T51" s="12">
        <v>3</v>
      </c>
      <c r="U51" s="16">
        <f t="shared" si="8"/>
        <v>25.642499999999998</v>
      </c>
      <c r="V51" s="12"/>
      <c r="W51" s="12"/>
      <c r="X51" s="13"/>
      <c r="Y51" s="13"/>
    </row>
    <row r="52" spans="1:25" ht="30" x14ac:dyDescent="0.25">
      <c r="A52" s="1" t="s">
        <v>139</v>
      </c>
      <c r="B52" s="1" t="s">
        <v>1</v>
      </c>
      <c r="C52" s="1" t="s">
        <v>1504</v>
      </c>
      <c r="D52" s="1" t="s">
        <v>55</v>
      </c>
      <c r="E52" s="29">
        <v>19.48</v>
      </c>
      <c r="F52" s="1" t="s">
        <v>4</v>
      </c>
      <c r="G52" s="6" t="s">
        <v>77</v>
      </c>
      <c r="H52" s="181" t="s">
        <v>738</v>
      </c>
      <c r="I52" s="5"/>
      <c r="J52" s="6" t="s">
        <v>194</v>
      </c>
      <c r="K52" s="21" t="s">
        <v>1448</v>
      </c>
      <c r="L52" s="12" t="s">
        <v>6</v>
      </c>
      <c r="M52" s="179" t="s">
        <v>7</v>
      </c>
      <c r="N52" s="150">
        <v>3000</v>
      </c>
      <c r="O52" s="6">
        <v>2100</v>
      </c>
      <c r="P52" s="35">
        <f t="shared" si="6"/>
        <v>6.3</v>
      </c>
      <c r="Q52" s="13"/>
      <c r="R52" s="12"/>
      <c r="S52" s="13">
        <v>16.079999999999998</v>
      </c>
      <c r="T52" s="12">
        <v>3</v>
      </c>
      <c r="U52" s="16">
        <f>S52*(T52-2.7)</f>
        <v>4.8239999999999963</v>
      </c>
      <c r="V52" s="12"/>
      <c r="W52" s="12"/>
      <c r="X52" s="13">
        <f>S52*2.7-P52-Y52</f>
        <v>37.116</v>
      </c>
      <c r="Y52" s="13"/>
    </row>
    <row r="53" spans="1:25" ht="30" x14ac:dyDescent="0.25">
      <c r="A53" s="151" t="s">
        <v>139</v>
      </c>
      <c r="B53" s="1" t="s">
        <v>1</v>
      </c>
      <c r="C53" s="1" t="s">
        <v>1505</v>
      </c>
      <c r="D53" s="1" t="s">
        <v>190</v>
      </c>
      <c r="E53" s="29">
        <v>180</v>
      </c>
      <c r="F53" s="1" t="s">
        <v>4</v>
      </c>
      <c r="G53" s="6" t="s">
        <v>77</v>
      </c>
      <c r="H53" s="181" t="s">
        <v>738</v>
      </c>
      <c r="I53" s="5"/>
      <c r="J53" s="6" t="s">
        <v>194</v>
      </c>
      <c r="K53" s="21" t="s">
        <v>1448</v>
      </c>
      <c r="L53" s="12" t="s">
        <v>6</v>
      </c>
      <c r="M53" s="179" t="s">
        <v>7</v>
      </c>
      <c r="N53" s="150">
        <v>16200</v>
      </c>
      <c r="O53" s="6">
        <v>2100</v>
      </c>
      <c r="P53" s="35">
        <f t="shared" si="6"/>
        <v>34.019999999999996</v>
      </c>
      <c r="Q53" s="13"/>
      <c r="R53" s="12"/>
      <c r="S53" s="13">
        <v>71.06</v>
      </c>
      <c r="T53" s="12">
        <v>3.8</v>
      </c>
      <c r="U53" s="16">
        <f>S53*(T53-2.7)</f>
        <v>78.165999999999983</v>
      </c>
      <c r="V53" s="12"/>
      <c r="W53" s="12"/>
      <c r="X53" s="13">
        <f>S53*2.7-P53-Y53</f>
        <v>157.84200000000004</v>
      </c>
      <c r="Y53" s="13"/>
    </row>
    <row r="54" spans="1:25" ht="30" x14ac:dyDescent="0.25">
      <c r="A54" s="151" t="s">
        <v>139</v>
      </c>
      <c r="B54" s="1" t="s">
        <v>1</v>
      </c>
      <c r="C54" s="1" t="s">
        <v>1506</v>
      </c>
      <c r="D54" s="1" t="s">
        <v>87</v>
      </c>
      <c r="E54" s="29">
        <v>33.25</v>
      </c>
      <c r="F54" s="1" t="s">
        <v>4</v>
      </c>
      <c r="G54" s="6" t="s">
        <v>77</v>
      </c>
      <c r="H54" s="181" t="s">
        <v>738</v>
      </c>
      <c r="I54" s="5"/>
      <c r="J54" s="6" t="s">
        <v>194</v>
      </c>
      <c r="K54" s="21" t="s">
        <v>1448</v>
      </c>
      <c r="L54" s="179" t="s">
        <v>218</v>
      </c>
      <c r="M54" s="179"/>
      <c r="N54" s="150"/>
      <c r="O54" s="6"/>
      <c r="P54" s="35">
        <f t="shared" si="6"/>
        <v>0</v>
      </c>
      <c r="Q54" s="13">
        <v>12.94</v>
      </c>
      <c r="R54" s="12"/>
      <c r="S54" s="13">
        <v>19.32</v>
      </c>
      <c r="T54" s="12">
        <v>3.8</v>
      </c>
      <c r="U54" s="16"/>
      <c r="V54" s="12"/>
      <c r="W54" s="12"/>
      <c r="X54" s="47">
        <f>S54*T54-P54-Q54-Y54</f>
        <v>60.475999999999999</v>
      </c>
      <c r="Y54" s="13"/>
    </row>
    <row r="55" spans="1:25" ht="30" x14ac:dyDescent="0.25">
      <c r="A55" s="1" t="s">
        <v>139</v>
      </c>
      <c r="B55" s="1" t="s">
        <v>1</v>
      </c>
      <c r="C55" s="1" t="s">
        <v>1507</v>
      </c>
      <c r="D55" s="1" t="s">
        <v>55</v>
      </c>
      <c r="E55" s="29">
        <v>45.6</v>
      </c>
      <c r="F55" s="1" t="s">
        <v>4</v>
      </c>
      <c r="G55" s="6" t="s">
        <v>77</v>
      </c>
      <c r="H55" s="181" t="s">
        <v>738</v>
      </c>
      <c r="I55" s="5"/>
      <c r="J55" s="6" t="s">
        <v>194</v>
      </c>
      <c r="K55" s="21" t="s">
        <v>1448</v>
      </c>
      <c r="L55" s="12" t="s">
        <v>6</v>
      </c>
      <c r="M55" s="179" t="s">
        <v>7</v>
      </c>
      <c r="N55" s="150">
        <v>2900</v>
      </c>
      <c r="O55" s="6">
        <v>2100</v>
      </c>
      <c r="P55" s="35">
        <f t="shared" si="6"/>
        <v>6.09</v>
      </c>
      <c r="Q55" s="13"/>
      <c r="R55" s="12"/>
      <c r="S55" s="13">
        <v>19.03</v>
      </c>
      <c r="T55" s="12">
        <v>3</v>
      </c>
      <c r="U55" s="16">
        <f>S55*(T55-2.7)</f>
        <v>5.708999999999997</v>
      </c>
      <c r="V55" s="12"/>
      <c r="W55" s="12"/>
      <c r="X55" s="13">
        <f>S55*2.7-P55-Y55</f>
        <v>42.051000000000009</v>
      </c>
      <c r="Y55" s="13">
        <v>3.24</v>
      </c>
    </row>
    <row r="56" spans="1:25" ht="30" x14ac:dyDescent="0.25">
      <c r="A56" s="203" t="s">
        <v>139</v>
      </c>
      <c r="B56" s="203" t="s">
        <v>183</v>
      </c>
      <c r="C56" s="203" t="s">
        <v>1508</v>
      </c>
      <c r="D56" s="203" t="s">
        <v>55</v>
      </c>
      <c r="E56" s="204">
        <v>12</v>
      </c>
      <c r="F56" s="203" t="s">
        <v>4</v>
      </c>
      <c r="G56" s="8" t="s">
        <v>77</v>
      </c>
      <c r="H56" s="181" t="s">
        <v>738</v>
      </c>
      <c r="I56" s="62"/>
      <c r="J56" s="8" t="s">
        <v>194</v>
      </c>
      <c r="K56" s="21" t="s">
        <v>1448</v>
      </c>
      <c r="L56" s="269" t="s">
        <v>583</v>
      </c>
      <c r="M56" s="269" t="s">
        <v>7</v>
      </c>
      <c r="N56" s="270">
        <v>1500</v>
      </c>
      <c r="O56" s="270">
        <v>2400</v>
      </c>
      <c r="P56" s="72">
        <f t="shared" si="6"/>
        <v>3.5999999999999996</v>
      </c>
      <c r="Q56" s="57">
        <v>7.4</v>
      </c>
      <c r="R56" s="56"/>
      <c r="S56" s="57">
        <v>17.440000000000001</v>
      </c>
      <c r="T56" s="56">
        <v>3.5</v>
      </c>
      <c r="U56" s="57"/>
      <c r="V56" s="56"/>
      <c r="W56" s="56"/>
      <c r="X56" s="57"/>
      <c r="Y56" s="57"/>
    </row>
    <row r="57" spans="1:25" s="48" customFormat="1" ht="30" x14ac:dyDescent="0.25">
      <c r="A57" s="139" t="s">
        <v>139</v>
      </c>
      <c r="B57" s="139" t="s">
        <v>183</v>
      </c>
      <c r="C57" s="139" t="s">
        <v>1509</v>
      </c>
      <c r="D57" s="139" t="s">
        <v>55</v>
      </c>
      <c r="E57" s="190">
        <v>313.5</v>
      </c>
      <c r="F57" s="139" t="s">
        <v>4</v>
      </c>
      <c r="G57" s="6" t="s">
        <v>77</v>
      </c>
      <c r="H57" s="181" t="s">
        <v>738</v>
      </c>
      <c r="I57" s="5"/>
      <c r="J57" s="6" t="s">
        <v>194</v>
      </c>
      <c r="K57" s="21" t="s">
        <v>1448</v>
      </c>
      <c r="L57" s="179" t="s">
        <v>583</v>
      </c>
      <c r="M57" s="179" t="s">
        <v>7</v>
      </c>
      <c r="N57" s="263">
        <v>3825</v>
      </c>
      <c r="O57" s="263">
        <v>2400</v>
      </c>
      <c r="P57" s="35">
        <f t="shared" si="6"/>
        <v>9.18</v>
      </c>
      <c r="Q57" s="13">
        <v>306.68</v>
      </c>
      <c r="R57" s="12"/>
      <c r="S57" s="13">
        <v>225.52</v>
      </c>
      <c r="T57" s="12">
        <v>3</v>
      </c>
      <c r="U57" s="13"/>
      <c r="V57" s="12"/>
      <c r="W57" s="12"/>
      <c r="X57" s="13"/>
      <c r="Y57" s="13"/>
    </row>
    <row r="58" spans="1:25" ht="30" x14ac:dyDescent="0.25">
      <c r="A58" s="177" t="s">
        <v>139</v>
      </c>
      <c r="B58" s="177" t="s">
        <v>183</v>
      </c>
      <c r="C58" s="177" t="s">
        <v>1510</v>
      </c>
      <c r="D58" s="177" t="s">
        <v>55</v>
      </c>
      <c r="E58" s="194">
        <v>19.5</v>
      </c>
      <c r="F58" s="177" t="s">
        <v>4</v>
      </c>
      <c r="G58" s="22" t="s">
        <v>77</v>
      </c>
      <c r="H58" s="181" t="s">
        <v>738</v>
      </c>
      <c r="I58" s="21"/>
      <c r="J58" s="22" t="s">
        <v>194</v>
      </c>
      <c r="K58" s="21" t="s">
        <v>1448</v>
      </c>
      <c r="L58" s="219" t="s">
        <v>583</v>
      </c>
      <c r="M58" s="219" t="s">
        <v>7</v>
      </c>
      <c r="N58" s="264">
        <v>1500</v>
      </c>
      <c r="O58" s="264">
        <v>2400</v>
      </c>
      <c r="P58" s="49">
        <f t="shared" si="6"/>
        <v>3.5999999999999996</v>
      </c>
      <c r="Q58" s="25"/>
      <c r="R58" s="24"/>
      <c r="S58" s="25">
        <v>26.03</v>
      </c>
      <c r="T58" s="24">
        <v>3.5</v>
      </c>
      <c r="U58" s="25"/>
      <c r="V58" s="24"/>
      <c r="W58" s="24"/>
      <c r="X58" s="25"/>
      <c r="Y58" s="25"/>
    </row>
    <row r="59" spans="1:25" ht="30" x14ac:dyDescent="0.25">
      <c r="A59" s="139" t="s">
        <v>139</v>
      </c>
      <c r="B59" s="139" t="s">
        <v>183</v>
      </c>
      <c r="C59" s="139" t="s">
        <v>1511</v>
      </c>
      <c r="D59" s="139" t="s">
        <v>55</v>
      </c>
      <c r="E59" s="190">
        <v>378.6</v>
      </c>
      <c r="F59" s="139" t="s">
        <v>4</v>
      </c>
      <c r="G59" s="6" t="s">
        <v>77</v>
      </c>
      <c r="H59" s="181" t="s">
        <v>738</v>
      </c>
      <c r="I59" s="5"/>
      <c r="J59" s="6" t="s">
        <v>194</v>
      </c>
      <c r="K59" s="21" t="s">
        <v>1448</v>
      </c>
      <c r="L59" s="179" t="s">
        <v>583</v>
      </c>
      <c r="M59" s="179" t="s">
        <v>7</v>
      </c>
      <c r="N59" s="263">
        <v>8625</v>
      </c>
      <c r="O59" s="263">
        <v>2400</v>
      </c>
      <c r="P59" s="35">
        <f t="shared" si="6"/>
        <v>20.7</v>
      </c>
      <c r="Q59" s="13">
        <v>382.63</v>
      </c>
      <c r="R59" s="12"/>
      <c r="S59" s="13">
        <v>275.82</v>
      </c>
      <c r="T59" s="12">
        <v>3</v>
      </c>
      <c r="U59" s="13"/>
      <c r="V59" s="12"/>
      <c r="W59" s="12"/>
      <c r="X59" s="13"/>
      <c r="Y59" s="13"/>
    </row>
    <row r="60" spans="1:25" ht="30" x14ac:dyDescent="0.25">
      <c r="A60" s="139" t="s">
        <v>139</v>
      </c>
      <c r="B60" s="139" t="s">
        <v>183</v>
      </c>
      <c r="C60" s="139" t="s">
        <v>1512</v>
      </c>
      <c r="D60" s="139" t="s">
        <v>55</v>
      </c>
      <c r="E60" s="190">
        <v>19.100000000000001</v>
      </c>
      <c r="F60" s="139" t="s">
        <v>4</v>
      </c>
      <c r="G60" s="6" t="s">
        <v>77</v>
      </c>
      <c r="H60" s="181" t="s">
        <v>738</v>
      </c>
      <c r="I60" s="5"/>
      <c r="J60" s="6" t="s">
        <v>194</v>
      </c>
      <c r="K60" s="21" t="s">
        <v>1448</v>
      </c>
      <c r="L60" s="179" t="s">
        <v>583</v>
      </c>
      <c r="M60" s="179" t="s">
        <v>7</v>
      </c>
      <c r="N60" s="263">
        <v>3900</v>
      </c>
      <c r="O60" s="263">
        <v>2400</v>
      </c>
      <c r="P60" s="35">
        <f t="shared" si="6"/>
        <v>9.36</v>
      </c>
      <c r="Q60" s="13"/>
      <c r="R60" s="12"/>
      <c r="S60" s="13">
        <v>27.64</v>
      </c>
      <c r="T60" s="12">
        <v>3.5</v>
      </c>
      <c r="U60" s="13"/>
      <c r="V60" s="12"/>
      <c r="W60" s="12"/>
      <c r="X60" s="13"/>
      <c r="Y60" s="13"/>
    </row>
    <row r="61" spans="1:25" s="278" customFormat="1" ht="17.25" x14ac:dyDescent="0.25">
      <c r="B61" s="278" t="s">
        <v>1553</v>
      </c>
      <c r="E61" s="279">
        <f>SUM(E37:E60)</f>
        <v>1652.1799999999998</v>
      </c>
      <c r="F61" s="278" t="s">
        <v>1560</v>
      </c>
    </row>
    <row r="62" spans="1:25" s="275" customFormat="1" ht="30" x14ac:dyDescent="0.25">
      <c r="A62" s="151" t="s">
        <v>160</v>
      </c>
      <c r="B62" s="151" t="s">
        <v>278</v>
      </c>
      <c r="C62" s="151" t="s">
        <v>1514</v>
      </c>
      <c r="D62" s="151" t="s">
        <v>1515</v>
      </c>
      <c r="E62" s="248">
        <v>130.5</v>
      </c>
      <c r="F62" s="151" t="s">
        <v>4</v>
      </c>
      <c r="G62" s="6" t="s">
        <v>77</v>
      </c>
      <c r="H62" s="181" t="s">
        <v>738</v>
      </c>
      <c r="I62" s="6"/>
      <c r="J62" s="6" t="s">
        <v>194</v>
      </c>
      <c r="K62" s="5" t="s">
        <v>1448</v>
      </c>
      <c r="L62" s="12" t="s">
        <v>6</v>
      </c>
      <c r="M62" s="6" t="s">
        <v>7</v>
      </c>
      <c r="N62" s="150">
        <v>16600</v>
      </c>
      <c r="O62" s="6">
        <v>2125</v>
      </c>
      <c r="P62" s="35">
        <f t="shared" ref="P62:P66" si="9">N62*O62*0.000001</f>
        <v>35.274999999999999</v>
      </c>
      <c r="Q62" s="12">
        <v>12.07</v>
      </c>
      <c r="R62" s="12">
        <v>1.95</v>
      </c>
      <c r="S62" s="13">
        <v>66.7</v>
      </c>
      <c r="T62" s="12">
        <v>3</v>
      </c>
      <c r="U62" s="35">
        <f>S62*T62-P62-Q62-X62-Y62</f>
        <v>110.63500000000003</v>
      </c>
      <c r="V62" s="12"/>
      <c r="W62" s="12"/>
      <c r="X62" s="12">
        <v>28.04</v>
      </c>
      <c r="Y62" s="12">
        <v>14.08</v>
      </c>
    </row>
    <row r="63" spans="1:25" s="275" customFormat="1" ht="30" x14ac:dyDescent="0.25">
      <c r="A63" s="151" t="s">
        <v>160</v>
      </c>
      <c r="B63" s="151" t="s">
        <v>278</v>
      </c>
      <c r="C63" s="151" t="s">
        <v>1516</v>
      </c>
      <c r="D63" s="151" t="s">
        <v>1496</v>
      </c>
      <c r="E63" s="248">
        <v>14.8</v>
      </c>
      <c r="F63" s="151" t="s">
        <v>4</v>
      </c>
      <c r="G63" s="6" t="s">
        <v>77</v>
      </c>
      <c r="H63" s="181" t="s">
        <v>738</v>
      </c>
      <c r="I63" s="6"/>
      <c r="J63" s="6" t="s">
        <v>194</v>
      </c>
      <c r="K63" s="21" t="s">
        <v>1448</v>
      </c>
      <c r="L63" s="12" t="s">
        <v>6</v>
      </c>
      <c r="M63" s="6" t="s">
        <v>7</v>
      </c>
      <c r="N63" s="150">
        <v>1350</v>
      </c>
      <c r="O63" s="6">
        <v>2125</v>
      </c>
      <c r="P63" s="35">
        <f t="shared" si="9"/>
        <v>2.8687499999999999</v>
      </c>
      <c r="Q63" s="12"/>
      <c r="R63" s="12"/>
      <c r="S63" s="13">
        <v>17.3</v>
      </c>
      <c r="T63" s="12">
        <v>3.6</v>
      </c>
      <c r="U63" s="35">
        <f>S63*T63-P63-Q63-X63-Y63</f>
        <v>59.411250000000003</v>
      </c>
      <c r="V63" s="12"/>
      <c r="W63" s="12"/>
      <c r="X63" s="12"/>
      <c r="Y63" s="12"/>
    </row>
    <row r="64" spans="1:25" s="276" customFormat="1" ht="30" x14ac:dyDescent="0.25">
      <c r="A64" s="151" t="s">
        <v>160</v>
      </c>
      <c r="B64" s="151" t="s">
        <v>278</v>
      </c>
      <c r="C64" s="151" t="s">
        <v>1517</v>
      </c>
      <c r="D64" s="151" t="s">
        <v>1498</v>
      </c>
      <c r="E64" s="248">
        <v>17.7</v>
      </c>
      <c r="F64" s="151" t="s">
        <v>4</v>
      </c>
      <c r="G64" s="6" t="s">
        <v>77</v>
      </c>
      <c r="H64" s="181" t="s">
        <v>738</v>
      </c>
      <c r="I64" s="6"/>
      <c r="J64" s="6" t="s">
        <v>194</v>
      </c>
      <c r="K64" s="21" t="s">
        <v>1448</v>
      </c>
      <c r="L64" s="12" t="s">
        <v>6</v>
      </c>
      <c r="M64" s="6" t="s">
        <v>7</v>
      </c>
      <c r="N64" s="150">
        <v>1350</v>
      </c>
      <c r="O64" s="6">
        <v>2125</v>
      </c>
      <c r="P64" s="35">
        <f t="shared" si="9"/>
        <v>2.8687499999999999</v>
      </c>
      <c r="Q64" s="12"/>
      <c r="R64" s="12"/>
      <c r="S64" s="13">
        <v>20.38</v>
      </c>
      <c r="T64" s="12">
        <v>3.6</v>
      </c>
      <c r="U64" s="35">
        <f>S64*T64-P64-Q64-X64-Y64</f>
        <v>70.499249999999989</v>
      </c>
      <c r="V64" s="12"/>
      <c r="W64" s="12"/>
      <c r="X64" s="12"/>
      <c r="Y64" s="12"/>
    </row>
    <row r="65" spans="1:25" s="275" customFormat="1" ht="30" x14ac:dyDescent="0.25">
      <c r="A65" s="151" t="s">
        <v>160</v>
      </c>
      <c r="B65" s="151" t="s">
        <v>278</v>
      </c>
      <c r="C65" s="151" t="s">
        <v>1518</v>
      </c>
      <c r="D65" s="151" t="s">
        <v>362</v>
      </c>
      <c r="E65" s="248">
        <v>7.8</v>
      </c>
      <c r="F65" s="151" t="s">
        <v>4</v>
      </c>
      <c r="G65" s="6" t="s">
        <v>77</v>
      </c>
      <c r="H65" s="181" t="s">
        <v>738</v>
      </c>
      <c r="I65" s="6"/>
      <c r="J65" s="6" t="s">
        <v>194</v>
      </c>
      <c r="K65" s="21" t="s">
        <v>1448</v>
      </c>
      <c r="L65" s="12" t="s">
        <v>6</v>
      </c>
      <c r="M65" s="6" t="s">
        <v>7</v>
      </c>
      <c r="N65" s="150">
        <v>4350</v>
      </c>
      <c r="O65" s="6">
        <v>2125</v>
      </c>
      <c r="P65" s="35">
        <f t="shared" si="9"/>
        <v>9.2437500000000004</v>
      </c>
      <c r="Q65" s="12"/>
      <c r="R65" s="12"/>
      <c r="S65" s="13">
        <v>11.31</v>
      </c>
      <c r="T65" s="12">
        <v>2.6</v>
      </c>
      <c r="U65" s="35">
        <f>S65*T65-P65-Q65-X65-Y65</f>
        <v>20.16225</v>
      </c>
      <c r="V65" s="12"/>
      <c r="W65" s="12"/>
      <c r="X65" s="12"/>
      <c r="Y65" s="12"/>
    </row>
    <row r="66" spans="1:25" s="275" customFormat="1" ht="30" x14ac:dyDescent="0.25">
      <c r="A66" s="145" t="s">
        <v>160</v>
      </c>
      <c r="B66" s="145" t="s">
        <v>228</v>
      </c>
      <c r="C66" s="145" t="s">
        <v>1519</v>
      </c>
      <c r="D66" s="145" t="s">
        <v>362</v>
      </c>
      <c r="E66" s="235">
        <v>22</v>
      </c>
      <c r="F66" s="145" t="s">
        <v>4</v>
      </c>
      <c r="G66" s="6" t="s">
        <v>77</v>
      </c>
      <c r="H66" s="181" t="s">
        <v>738</v>
      </c>
      <c r="I66" s="6"/>
      <c r="J66" s="6" t="s">
        <v>194</v>
      </c>
      <c r="K66" s="21" t="s">
        <v>1448</v>
      </c>
      <c r="L66" s="12" t="s">
        <v>6</v>
      </c>
      <c r="M66" s="6" t="s">
        <v>7</v>
      </c>
      <c r="N66" s="150">
        <v>2200</v>
      </c>
      <c r="O66" s="6">
        <v>2125</v>
      </c>
      <c r="P66" s="35">
        <f t="shared" si="9"/>
        <v>4.6749999999999998</v>
      </c>
      <c r="Q66" s="12">
        <v>3.37</v>
      </c>
      <c r="R66" s="12"/>
      <c r="S66" s="13">
        <v>27.89</v>
      </c>
      <c r="T66" s="12">
        <v>2.7</v>
      </c>
      <c r="U66" s="35">
        <f t="shared" ref="U66" si="10">S66*T66-P66-Q66-X66-Y66</f>
        <v>54.028000000000013</v>
      </c>
      <c r="V66" s="12"/>
      <c r="W66" s="12"/>
      <c r="X66" s="12">
        <v>9.27</v>
      </c>
      <c r="Y66" s="12">
        <v>3.96</v>
      </c>
    </row>
    <row r="67" spans="1:25" ht="17.25" x14ac:dyDescent="0.25">
      <c r="B67" s="278" t="s">
        <v>1559</v>
      </c>
      <c r="E67" s="279">
        <f>SUM(E62:E66)</f>
        <v>192.8</v>
      </c>
      <c r="F67" s="278" t="s">
        <v>1560</v>
      </c>
    </row>
    <row r="68" spans="1:25" ht="30" x14ac:dyDescent="0.25">
      <c r="A68" s="151" t="s">
        <v>230</v>
      </c>
      <c r="B68" s="151" t="s">
        <v>278</v>
      </c>
      <c r="C68" s="151" t="s">
        <v>1520</v>
      </c>
      <c r="D68" s="151" t="s">
        <v>1521</v>
      </c>
      <c r="E68" s="248">
        <v>130.5</v>
      </c>
      <c r="F68" s="151" t="s">
        <v>4</v>
      </c>
      <c r="G68" s="6" t="s">
        <v>77</v>
      </c>
      <c r="H68" s="181" t="s">
        <v>738</v>
      </c>
      <c r="I68" s="6"/>
      <c r="J68" s="6" t="s">
        <v>194</v>
      </c>
      <c r="K68" s="5" t="s">
        <v>1448</v>
      </c>
      <c r="L68" s="12" t="s">
        <v>6</v>
      </c>
      <c r="M68" s="6" t="s">
        <v>7</v>
      </c>
      <c r="N68" s="6">
        <v>16600</v>
      </c>
      <c r="O68" s="6">
        <v>2125</v>
      </c>
      <c r="P68" s="35">
        <f t="shared" ref="P68:P72" si="11">N68*O68*0.000001</f>
        <v>35.274999999999999</v>
      </c>
      <c r="Q68" s="12">
        <v>12.07</v>
      </c>
      <c r="R68" s="12">
        <v>1.95</v>
      </c>
      <c r="S68" s="12">
        <v>66.75</v>
      </c>
      <c r="T68" s="12">
        <v>3</v>
      </c>
      <c r="U68" s="35">
        <f>S68*T68-P68-Q68-X68-Y68</f>
        <v>110.78500000000001</v>
      </c>
      <c r="V68" s="12"/>
      <c r="W68" s="12"/>
      <c r="X68" s="12">
        <v>28.04</v>
      </c>
      <c r="Y68" s="12">
        <v>14.08</v>
      </c>
    </row>
    <row r="69" spans="1:25" ht="30" x14ac:dyDescent="0.25">
      <c r="A69" s="151" t="s">
        <v>230</v>
      </c>
      <c r="B69" s="151" t="s">
        <v>278</v>
      </c>
      <c r="C69" s="151" t="s">
        <v>1522</v>
      </c>
      <c r="D69" s="151" t="s">
        <v>1496</v>
      </c>
      <c r="E69" s="248">
        <v>14.8</v>
      </c>
      <c r="F69" s="151" t="s">
        <v>4</v>
      </c>
      <c r="G69" s="6" t="s">
        <v>77</v>
      </c>
      <c r="H69" s="181" t="s">
        <v>738</v>
      </c>
      <c r="I69" s="6"/>
      <c r="J69" s="6" t="s">
        <v>194</v>
      </c>
      <c r="K69" s="21" t="s">
        <v>1448</v>
      </c>
      <c r="L69" s="12" t="s">
        <v>6</v>
      </c>
      <c r="M69" s="6" t="s">
        <v>7</v>
      </c>
      <c r="N69" s="6">
        <v>1350</v>
      </c>
      <c r="O69" s="6">
        <v>2125</v>
      </c>
      <c r="P69" s="35">
        <f t="shared" si="11"/>
        <v>2.8687499999999999</v>
      </c>
      <c r="Q69" s="12"/>
      <c r="R69" s="12"/>
      <c r="S69" s="12">
        <v>17.3</v>
      </c>
      <c r="T69" s="12">
        <v>3.6</v>
      </c>
      <c r="U69" s="35">
        <f>S69*T69-P69-Q69-X69-Y69</f>
        <v>59.411250000000003</v>
      </c>
      <c r="V69" s="12"/>
      <c r="W69" s="12"/>
      <c r="X69" s="12"/>
      <c r="Y69" s="12"/>
    </row>
    <row r="70" spans="1:25" ht="30" x14ac:dyDescent="0.25">
      <c r="A70" s="151" t="s">
        <v>230</v>
      </c>
      <c r="B70" s="151" t="s">
        <v>278</v>
      </c>
      <c r="C70" s="151" t="s">
        <v>1523</v>
      </c>
      <c r="D70" s="151" t="s">
        <v>1498</v>
      </c>
      <c r="E70" s="248">
        <v>17.8</v>
      </c>
      <c r="F70" s="151" t="s">
        <v>4</v>
      </c>
      <c r="G70" s="6" t="s">
        <v>77</v>
      </c>
      <c r="H70" s="181" t="s">
        <v>738</v>
      </c>
      <c r="I70" s="6"/>
      <c r="J70" s="6" t="s">
        <v>194</v>
      </c>
      <c r="K70" s="21" t="s">
        <v>1448</v>
      </c>
      <c r="L70" s="12" t="s">
        <v>6</v>
      </c>
      <c r="M70" s="6" t="s">
        <v>7</v>
      </c>
      <c r="N70" s="6">
        <v>1350</v>
      </c>
      <c r="O70" s="6">
        <v>2125</v>
      </c>
      <c r="P70" s="35">
        <f t="shared" si="11"/>
        <v>2.8687499999999999</v>
      </c>
      <c r="Q70" s="12"/>
      <c r="R70" s="12"/>
      <c r="S70" s="12">
        <v>20.38</v>
      </c>
      <c r="T70" s="12">
        <v>3.6</v>
      </c>
      <c r="U70" s="35">
        <f>S70*T70-P70-Q70-X70-Y70</f>
        <v>70.499249999999989</v>
      </c>
      <c r="V70" s="12"/>
      <c r="W70" s="12"/>
      <c r="X70" s="12"/>
      <c r="Y70" s="12"/>
    </row>
    <row r="71" spans="1:25" ht="30" x14ac:dyDescent="0.25">
      <c r="A71" s="151" t="s">
        <v>230</v>
      </c>
      <c r="B71" s="151" t="s">
        <v>278</v>
      </c>
      <c r="C71" s="151" t="s">
        <v>1524</v>
      </c>
      <c r="D71" s="151" t="s">
        <v>362</v>
      </c>
      <c r="E71" s="248">
        <v>7.8</v>
      </c>
      <c r="F71" s="151" t="s">
        <v>4</v>
      </c>
      <c r="G71" s="6" t="s">
        <v>77</v>
      </c>
      <c r="H71" s="181" t="s">
        <v>738</v>
      </c>
      <c r="I71" s="6"/>
      <c r="J71" s="6" t="s">
        <v>194</v>
      </c>
      <c r="K71" s="21" t="s">
        <v>1448</v>
      </c>
      <c r="L71" s="12" t="s">
        <v>6</v>
      </c>
      <c r="M71" s="6" t="s">
        <v>7</v>
      </c>
      <c r="N71" s="6">
        <v>4350</v>
      </c>
      <c r="O71" s="6">
        <v>2125</v>
      </c>
      <c r="P71" s="35">
        <f t="shared" si="11"/>
        <v>9.2437500000000004</v>
      </c>
      <c r="Q71" s="12"/>
      <c r="R71" s="12"/>
      <c r="S71" s="12">
        <v>11.31</v>
      </c>
      <c r="T71" s="12">
        <v>2.7</v>
      </c>
      <c r="U71" s="35">
        <f>S71*T71-P71-Q71-X71-Y71</f>
        <v>21.29325</v>
      </c>
      <c r="V71" s="12"/>
      <c r="W71" s="12"/>
      <c r="X71" s="12"/>
      <c r="Y71" s="12"/>
    </row>
    <row r="72" spans="1:25" ht="30" x14ac:dyDescent="0.25">
      <c r="A72" s="145" t="s">
        <v>230</v>
      </c>
      <c r="B72" s="145" t="s">
        <v>228</v>
      </c>
      <c r="C72" s="145" t="s">
        <v>1525</v>
      </c>
      <c r="D72" s="145" t="s">
        <v>362</v>
      </c>
      <c r="E72" s="235">
        <v>22</v>
      </c>
      <c r="F72" s="145" t="s">
        <v>4</v>
      </c>
      <c r="G72" s="6" t="s">
        <v>77</v>
      </c>
      <c r="H72" s="181" t="s">
        <v>738</v>
      </c>
      <c r="I72" s="6"/>
      <c r="J72" s="6" t="s">
        <v>194</v>
      </c>
      <c r="K72" s="21" t="s">
        <v>1448</v>
      </c>
      <c r="L72" s="12" t="s">
        <v>6</v>
      </c>
      <c r="M72" s="6" t="s">
        <v>7</v>
      </c>
      <c r="N72" s="6">
        <v>2250</v>
      </c>
      <c r="O72" s="6">
        <v>2125</v>
      </c>
      <c r="P72" s="35">
        <f t="shared" si="11"/>
        <v>4.78125</v>
      </c>
      <c r="Q72" s="12">
        <v>6.82</v>
      </c>
      <c r="R72" s="12">
        <v>1.1200000000000001</v>
      </c>
      <c r="S72" s="12">
        <v>28.69</v>
      </c>
      <c r="T72" s="12">
        <v>2.5</v>
      </c>
      <c r="U72" s="35">
        <f t="shared" ref="U72" si="12">S72*T72-P72-Q72-X72-Y72</f>
        <v>46.893750000000004</v>
      </c>
      <c r="V72" s="12"/>
      <c r="W72" s="12"/>
      <c r="X72" s="12">
        <v>9.27</v>
      </c>
      <c r="Y72" s="12">
        <v>3.96</v>
      </c>
    </row>
    <row r="73" spans="1:25" ht="17.25" x14ac:dyDescent="0.25">
      <c r="B73" s="278" t="s">
        <v>1558</v>
      </c>
      <c r="E73" s="279">
        <f>SUM(E68:E72)</f>
        <v>192.90000000000003</v>
      </c>
      <c r="F73" s="278" t="s">
        <v>1560</v>
      </c>
    </row>
    <row r="74" spans="1:25" ht="30" x14ac:dyDescent="0.25">
      <c r="A74" s="145" t="s">
        <v>748</v>
      </c>
      <c r="B74" s="145" t="s">
        <v>361</v>
      </c>
      <c r="C74" s="145" t="s">
        <v>1526</v>
      </c>
      <c r="D74" s="145" t="s">
        <v>55</v>
      </c>
      <c r="E74" s="235">
        <v>39</v>
      </c>
      <c r="F74" s="145" t="s">
        <v>4</v>
      </c>
      <c r="G74" s="5" t="s">
        <v>5</v>
      </c>
      <c r="H74" s="181" t="s">
        <v>738</v>
      </c>
      <c r="I74" s="6"/>
      <c r="J74" s="6" t="s">
        <v>194</v>
      </c>
      <c r="K74" s="5" t="s">
        <v>1448</v>
      </c>
      <c r="L74" s="12" t="s">
        <v>6</v>
      </c>
      <c r="M74" s="6" t="s">
        <v>7</v>
      </c>
      <c r="N74" s="150">
        <v>4125</v>
      </c>
      <c r="O74" s="6">
        <v>2125</v>
      </c>
      <c r="P74" s="35">
        <f t="shared" ref="P74:P81" si="13">N74*O74*0.000001</f>
        <v>8.765625</v>
      </c>
      <c r="Q74" s="12">
        <v>12.01</v>
      </c>
      <c r="R74" s="12">
        <v>1.2</v>
      </c>
      <c r="S74" s="12">
        <v>35</v>
      </c>
      <c r="T74" s="12">
        <v>2.7</v>
      </c>
      <c r="U74" s="35">
        <f>S74*T74-P74-Q74-X74-Y74</f>
        <v>69.60437499999999</v>
      </c>
      <c r="V74" s="152"/>
      <c r="W74" s="152"/>
      <c r="X74" s="152"/>
      <c r="Y74" s="12">
        <v>4.12</v>
      </c>
    </row>
    <row r="75" spans="1:25" ht="30" x14ac:dyDescent="0.25">
      <c r="A75" s="151" t="s">
        <v>748</v>
      </c>
      <c r="B75" s="151" t="s">
        <v>278</v>
      </c>
      <c r="C75" s="151" t="s">
        <v>1527</v>
      </c>
      <c r="D75" s="151" t="s">
        <v>3</v>
      </c>
      <c r="E75" s="248">
        <v>8.1999999999999993</v>
      </c>
      <c r="F75" s="151" t="s">
        <v>4</v>
      </c>
      <c r="G75" s="5" t="s">
        <v>5</v>
      </c>
      <c r="H75" s="181" t="s">
        <v>738</v>
      </c>
      <c r="I75" s="5"/>
      <c r="J75" s="5" t="s">
        <v>194</v>
      </c>
      <c r="K75" s="21" t="s">
        <v>1448</v>
      </c>
      <c r="L75" s="12" t="s">
        <v>6</v>
      </c>
      <c r="M75" s="6" t="s">
        <v>7</v>
      </c>
      <c r="N75" s="150">
        <v>3700</v>
      </c>
      <c r="O75" s="6">
        <v>2125</v>
      </c>
      <c r="P75" s="35">
        <f t="shared" si="13"/>
        <v>7.8624999999999998</v>
      </c>
      <c r="Q75" s="12"/>
      <c r="R75" s="12"/>
      <c r="S75" s="12">
        <v>16.91</v>
      </c>
      <c r="T75" s="12">
        <v>2.7</v>
      </c>
      <c r="U75" s="35">
        <f>S75*T75-P75-Q75-X75-Y75</f>
        <v>37.794500000000006</v>
      </c>
      <c r="V75" s="152"/>
      <c r="W75" s="152"/>
      <c r="X75" s="152"/>
      <c r="Y75" s="12"/>
    </row>
    <row r="76" spans="1:25" ht="30" x14ac:dyDescent="0.25">
      <c r="A76" s="145" t="s">
        <v>748</v>
      </c>
      <c r="B76" s="145" t="s">
        <v>361</v>
      </c>
      <c r="C76" s="145" t="s">
        <v>1528</v>
      </c>
      <c r="D76" s="145" t="s">
        <v>362</v>
      </c>
      <c r="E76" s="235">
        <v>13.7</v>
      </c>
      <c r="F76" s="145" t="s">
        <v>4</v>
      </c>
      <c r="G76" s="5" t="s">
        <v>77</v>
      </c>
      <c r="H76" s="181" t="s">
        <v>738</v>
      </c>
      <c r="I76" s="6"/>
      <c r="J76" s="6" t="s">
        <v>194</v>
      </c>
      <c r="K76" s="21" t="s">
        <v>1448</v>
      </c>
      <c r="L76" s="6" t="s">
        <v>6</v>
      </c>
      <c r="M76" s="6" t="s">
        <v>7</v>
      </c>
      <c r="N76" s="6">
        <v>1500</v>
      </c>
      <c r="O76" s="6">
        <v>2125</v>
      </c>
      <c r="P76" s="35">
        <f t="shared" si="13"/>
        <v>3.1875</v>
      </c>
      <c r="Q76" s="6"/>
      <c r="R76" s="6"/>
      <c r="S76" s="6">
        <v>15.63</v>
      </c>
      <c r="T76" s="6">
        <v>2.7</v>
      </c>
      <c r="U76" s="35">
        <f>S76*T76-P76-Q76-X76-Y76</f>
        <v>21.093500000000006</v>
      </c>
      <c r="V76" s="35"/>
      <c r="W76" s="35"/>
      <c r="X76" s="35">
        <v>13.3</v>
      </c>
      <c r="Y76" s="6">
        <v>4.62</v>
      </c>
    </row>
    <row r="77" spans="1:25" ht="30" x14ac:dyDescent="0.25">
      <c r="A77" s="151" t="s">
        <v>748</v>
      </c>
      <c r="B77" s="151" t="s">
        <v>278</v>
      </c>
      <c r="C77" s="151" t="s">
        <v>1529</v>
      </c>
      <c r="D77" s="151" t="s">
        <v>3</v>
      </c>
      <c r="E77" s="248">
        <v>139.9</v>
      </c>
      <c r="F77" s="151" t="s">
        <v>4</v>
      </c>
      <c r="G77" s="5" t="s">
        <v>77</v>
      </c>
      <c r="H77" s="181" t="s">
        <v>738</v>
      </c>
      <c r="I77" s="5"/>
      <c r="J77" s="5" t="s">
        <v>194</v>
      </c>
      <c r="K77" s="21" t="s">
        <v>1448</v>
      </c>
      <c r="L77" s="12" t="s">
        <v>6</v>
      </c>
      <c r="M77" s="6" t="s">
        <v>7</v>
      </c>
      <c r="N77" s="150">
        <v>20550</v>
      </c>
      <c r="O77" s="6">
        <v>2125</v>
      </c>
      <c r="P77" s="35">
        <f t="shared" si="13"/>
        <v>43.668749999999996</v>
      </c>
      <c r="Q77" s="12">
        <v>12.07</v>
      </c>
      <c r="R77" s="12">
        <v>2.1</v>
      </c>
      <c r="S77" s="12">
        <v>73.58</v>
      </c>
      <c r="T77" s="12">
        <v>3</v>
      </c>
      <c r="U77" s="35">
        <f>S77*T77-P77-Q77-Y77-X77</f>
        <v>122.88125000000002</v>
      </c>
      <c r="V77" s="152"/>
      <c r="W77" s="152"/>
      <c r="X77" s="152">
        <v>28.04</v>
      </c>
      <c r="Y77" s="12">
        <v>14.08</v>
      </c>
    </row>
    <row r="78" spans="1:25" ht="30" x14ac:dyDescent="0.25">
      <c r="A78" s="151" t="s">
        <v>748</v>
      </c>
      <c r="B78" s="151" t="s">
        <v>278</v>
      </c>
      <c r="C78" s="151" t="s">
        <v>1530</v>
      </c>
      <c r="D78" s="151" t="s">
        <v>1496</v>
      </c>
      <c r="E78" s="248">
        <v>15.6</v>
      </c>
      <c r="F78" s="151" t="s">
        <v>4</v>
      </c>
      <c r="G78" s="5" t="s">
        <v>77</v>
      </c>
      <c r="H78" s="181" t="s">
        <v>738</v>
      </c>
      <c r="I78" s="5"/>
      <c r="J78" s="5" t="s">
        <v>194</v>
      </c>
      <c r="K78" s="21" t="s">
        <v>1448</v>
      </c>
      <c r="L78" s="12" t="s">
        <v>6</v>
      </c>
      <c r="M78" s="6" t="s">
        <v>7</v>
      </c>
      <c r="N78" s="150">
        <v>1350</v>
      </c>
      <c r="O78" s="6">
        <v>2125</v>
      </c>
      <c r="P78" s="35">
        <f t="shared" si="13"/>
        <v>2.8687499999999999</v>
      </c>
      <c r="Q78" s="12"/>
      <c r="R78" s="12"/>
      <c r="S78" s="12">
        <v>18.45</v>
      </c>
      <c r="T78" s="12">
        <v>6.2</v>
      </c>
      <c r="U78" s="35">
        <f>S78*T78-P78-Q78-X78-Y78</f>
        <v>111.52124999999999</v>
      </c>
      <c r="V78" s="152"/>
      <c r="W78" s="152"/>
      <c r="X78" s="152"/>
      <c r="Y78" s="12"/>
    </row>
    <row r="79" spans="1:25" ht="30" x14ac:dyDescent="0.25">
      <c r="A79" s="151" t="s">
        <v>748</v>
      </c>
      <c r="B79" s="151" t="s">
        <v>278</v>
      </c>
      <c r="C79" s="151" t="s">
        <v>1531</v>
      </c>
      <c r="D79" s="151" t="s">
        <v>1498</v>
      </c>
      <c r="E79" s="248">
        <v>22.7</v>
      </c>
      <c r="F79" s="151" t="s">
        <v>4</v>
      </c>
      <c r="G79" s="5" t="s">
        <v>77</v>
      </c>
      <c r="H79" s="181" t="s">
        <v>738</v>
      </c>
      <c r="I79" s="5"/>
      <c r="J79" s="5" t="s">
        <v>194</v>
      </c>
      <c r="K79" s="21" t="s">
        <v>1448</v>
      </c>
      <c r="L79" s="12" t="s">
        <v>6</v>
      </c>
      <c r="M79" s="6" t="s">
        <v>7</v>
      </c>
      <c r="N79" s="150">
        <v>2350</v>
      </c>
      <c r="O79" s="6">
        <v>2125</v>
      </c>
      <c r="P79" s="35">
        <f t="shared" si="13"/>
        <v>4.9937499999999995</v>
      </c>
      <c r="Q79" s="12"/>
      <c r="R79" s="12"/>
      <c r="S79" s="12">
        <v>27.35</v>
      </c>
      <c r="T79" s="12">
        <v>4.2</v>
      </c>
      <c r="U79" s="35">
        <f>S79*T79-P79-Q79-X79-Y79</f>
        <v>109.87625</v>
      </c>
      <c r="V79" s="152"/>
      <c r="W79" s="152"/>
      <c r="X79" s="152"/>
      <c r="Y79" s="12"/>
    </row>
    <row r="80" spans="1:25" ht="30" x14ac:dyDescent="0.25">
      <c r="A80" s="151" t="s">
        <v>748</v>
      </c>
      <c r="B80" s="151" t="s">
        <v>278</v>
      </c>
      <c r="C80" s="151" t="s">
        <v>1532</v>
      </c>
      <c r="D80" s="151" t="s">
        <v>362</v>
      </c>
      <c r="E80" s="248">
        <v>5.8</v>
      </c>
      <c r="F80" s="151" t="s">
        <v>4</v>
      </c>
      <c r="G80" s="5" t="s">
        <v>77</v>
      </c>
      <c r="H80" s="181" t="s">
        <v>738</v>
      </c>
      <c r="I80" s="5"/>
      <c r="J80" s="5" t="s">
        <v>194</v>
      </c>
      <c r="K80" s="21" t="s">
        <v>1448</v>
      </c>
      <c r="L80" s="12" t="s">
        <v>6</v>
      </c>
      <c r="M80" s="6" t="s">
        <v>7</v>
      </c>
      <c r="N80" s="150">
        <v>4350</v>
      </c>
      <c r="O80" s="6">
        <v>2125</v>
      </c>
      <c r="P80" s="35">
        <f t="shared" si="13"/>
        <v>9.2437500000000004</v>
      </c>
      <c r="Q80" s="12"/>
      <c r="R80" s="12"/>
      <c r="S80" s="12">
        <v>9.17</v>
      </c>
      <c r="T80" s="12">
        <v>2.7</v>
      </c>
      <c r="U80" s="35">
        <f>S80*T80-P80-Q80-X80-Y80</f>
        <v>15.51525</v>
      </c>
      <c r="V80" s="152"/>
      <c r="W80" s="152"/>
      <c r="X80" s="152"/>
      <c r="Y80" s="12"/>
    </row>
    <row r="81" spans="1:25" ht="30" x14ac:dyDescent="0.25">
      <c r="A81" s="151" t="s">
        <v>748</v>
      </c>
      <c r="B81" s="151" t="s">
        <v>278</v>
      </c>
      <c r="C81" s="151" t="s">
        <v>1533</v>
      </c>
      <c r="D81" s="151" t="s">
        <v>3</v>
      </c>
      <c r="E81" s="248">
        <v>9.6</v>
      </c>
      <c r="F81" s="151" t="s">
        <v>4</v>
      </c>
      <c r="G81" s="5" t="s">
        <v>77</v>
      </c>
      <c r="H81" s="181" t="s">
        <v>738</v>
      </c>
      <c r="I81" s="5"/>
      <c r="J81" s="5" t="s">
        <v>194</v>
      </c>
      <c r="K81" s="21" t="s">
        <v>1448</v>
      </c>
      <c r="L81" s="12" t="s">
        <v>6</v>
      </c>
      <c r="M81" s="6" t="s">
        <v>7</v>
      </c>
      <c r="N81" s="150">
        <v>3000</v>
      </c>
      <c r="O81" s="6">
        <v>2125</v>
      </c>
      <c r="P81" s="35">
        <f t="shared" si="13"/>
        <v>6.375</v>
      </c>
      <c r="Q81" s="12"/>
      <c r="R81" s="12"/>
      <c r="S81" s="12">
        <v>12.84</v>
      </c>
      <c r="T81" s="12">
        <v>2.7</v>
      </c>
      <c r="U81" s="35">
        <f>S81*T81-P81-Q81-X81-Y81</f>
        <v>28.292999999999999</v>
      </c>
      <c r="V81" s="152"/>
      <c r="W81" s="152"/>
      <c r="X81" s="152"/>
      <c r="Y81" s="12"/>
    </row>
    <row r="82" spans="1:25" ht="17.25" x14ac:dyDescent="0.25">
      <c r="B82" s="278" t="s">
        <v>1557</v>
      </c>
      <c r="E82" s="279">
        <f>SUM(E74:E81)</f>
        <v>254.5</v>
      </c>
      <c r="F82" s="278" t="s">
        <v>1560</v>
      </c>
    </row>
    <row r="83" spans="1:25" ht="30" x14ac:dyDescent="0.25">
      <c r="A83" s="145" t="s">
        <v>1290</v>
      </c>
      <c r="B83" s="145" t="s">
        <v>361</v>
      </c>
      <c r="C83" s="145" t="s">
        <v>1534</v>
      </c>
      <c r="D83" s="145" t="s">
        <v>55</v>
      </c>
      <c r="E83" s="235">
        <v>34.799999999999997</v>
      </c>
      <c r="F83" s="145" t="s">
        <v>4</v>
      </c>
      <c r="G83" s="5" t="s">
        <v>77</v>
      </c>
      <c r="H83" s="181" t="s">
        <v>738</v>
      </c>
      <c r="I83" s="5"/>
      <c r="J83" s="5" t="s">
        <v>194</v>
      </c>
      <c r="K83" s="5" t="s">
        <v>1448</v>
      </c>
      <c r="L83" s="6" t="s">
        <v>6</v>
      </c>
      <c r="M83" s="6" t="s">
        <v>7</v>
      </c>
      <c r="N83" s="6">
        <v>4125</v>
      </c>
      <c r="O83" s="6">
        <v>2125</v>
      </c>
      <c r="P83" s="35">
        <f t="shared" ref="P83:P87" si="14">N83*O83*0.000001</f>
        <v>8.765625</v>
      </c>
      <c r="Q83" s="6">
        <v>8.98</v>
      </c>
      <c r="R83" s="6">
        <v>1.2</v>
      </c>
      <c r="S83" s="35">
        <v>31.37</v>
      </c>
      <c r="T83" s="35">
        <v>2.7</v>
      </c>
      <c r="U83" s="35">
        <f>S83*T83-P83-Q83-Y83</f>
        <v>66.953375000000008</v>
      </c>
      <c r="V83" s="35"/>
      <c r="W83" s="35"/>
      <c r="X83" s="35"/>
      <c r="Y83" s="6"/>
    </row>
    <row r="84" spans="1:25" ht="30" x14ac:dyDescent="0.25">
      <c r="A84" s="151" t="s">
        <v>1290</v>
      </c>
      <c r="B84" s="151" t="s">
        <v>278</v>
      </c>
      <c r="C84" s="151" t="s">
        <v>1535</v>
      </c>
      <c r="D84" s="151" t="s">
        <v>3</v>
      </c>
      <c r="E84" s="248">
        <v>72.099999999999994</v>
      </c>
      <c r="F84" s="151" t="s">
        <v>4</v>
      </c>
      <c r="G84" s="5" t="s">
        <v>77</v>
      </c>
      <c r="H84" s="181" t="s">
        <v>738</v>
      </c>
      <c r="I84" s="5"/>
      <c r="J84" s="5" t="s">
        <v>194</v>
      </c>
      <c r="K84" s="21" t="s">
        <v>1448</v>
      </c>
      <c r="L84" s="179" t="s">
        <v>6</v>
      </c>
      <c r="M84" s="179" t="s">
        <v>7</v>
      </c>
      <c r="N84" s="150">
        <v>10875</v>
      </c>
      <c r="O84" s="150">
        <v>2125</v>
      </c>
      <c r="P84" s="152">
        <f t="shared" si="14"/>
        <v>23.109375</v>
      </c>
      <c r="Q84" s="12"/>
      <c r="R84" s="12"/>
      <c r="S84" s="152">
        <v>47.56</v>
      </c>
      <c r="T84" s="152">
        <v>3</v>
      </c>
      <c r="U84" s="35">
        <f>S84*T84-P84-Q84-Y84-X84</f>
        <v>77.450625000000002</v>
      </c>
      <c r="V84" s="152"/>
      <c r="W84" s="152"/>
      <c r="X84" s="152">
        <v>28.04</v>
      </c>
      <c r="Y84" s="12">
        <v>14.08</v>
      </c>
    </row>
    <row r="85" spans="1:25" ht="30" x14ac:dyDescent="0.25">
      <c r="A85" s="151" t="s">
        <v>1290</v>
      </c>
      <c r="B85" s="151" t="s">
        <v>278</v>
      </c>
      <c r="C85" s="151" t="s">
        <v>1536</v>
      </c>
      <c r="D85" s="151" t="s">
        <v>362</v>
      </c>
      <c r="E85" s="248">
        <v>12</v>
      </c>
      <c r="F85" s="151" t="s">
        <v>4</v>
      </c>
      <c r="G85" s="5" t="s">
        <v>77</v>
      </c>
      <c r="H85" s="181" t="s">
        <v>738</v>
      </c>
      <c r="I85" s="5"/>
      <c r="J85" s="5" t="s">
        <v>194</v>
      </c>
      <c r="K85" s="21" t="s">
        <v>1448</v>
      </c>
      <c r="L85" s="179" t="s">
        <v>6</v>
      </c>
      <c r="M85" s="179" t="s">
        <v>7</v>
      </c>
      <c r="N85" s="150">
        <v>5950</v>
      </c>
      <c r="O85" s="150">
        <v>2125</v>
      </c>
      <c r="P85" s="152">
        <f t="shared" si="14"/>
        <v>12.643749999999999</v>
      </c>
      <c r="Q85" s="12"/>
      <c r="R85" s="12"/>
      <c r="S85" s="152">
        <v>14.06</v>
      </c>
      <c r="T85" s="152">
        <v>3</v>
      </c>
      <c r="U85" s="35">
        <f>S85*T85-P85-Q85-Y85-X85</f>
        <v>29.536250000000003</v>
      </c>
      <c r="V85" s="152"/>
      <c r="W85" s="152"/>
      <c r="X85" s="152"/>
      <c r="Y85" s="12"/>
    </row>
    <row r="86" spans="1:25" ht="30" x14ac:dyDescent="0.25">
      <c r="A86" s="151" t="s">
        <v>1290</v>
      </c>
      <c r="B86" s="151" t="s">
        <v>278</v>
      </c>
      <c r="C86" s="151" t="s">
        <v>1537</v>
      </c>
      <c r="D86" s="151" t="s">
        <v>1498</v>
      </c>
      <c r="E86" s="248">
        <v>16.100000000000001</v>
      </c>
      <c r="F86" s="151" t="s">
        <v>4</v>
      </c>
      <c r="G86" s="5" t="s">
        <v>77</v>
      </c>
      <c r="H86" s="181" t="s">
        <v>738</v>
      </c>
      <c r="I86" s="5"/>
      <c r="J86" s="5" t="s">
        <v>194</v>
      </c>
      <c r="K86" s="21" t="s">
        <v>1448</v>
      </c>
      <c r="L86" s="179" t="s">
        <v>6</v>
      </c>
      <c r="M86" s="179" t="s">
        <v>7</v>
      </c>
      <c r="N86" s="150">
        <v>1350</v>
      </c>
      <c r="O86" s="150">
        <v>2125</v>
      </c>
      <c r="P86" s="152">
        <f t="shared" si="14"/>
        <v>2.8687499999999999</v>
      </c>
      <c r="Q86" s="12"/>
      <c r="R86" s="12"/>
      <c r="S86" s="152">
        <v>17.7</v>
      </c>
      <c r="T86" s="152">
        <v>4.2</v>
      </c>
      <c r="U86" s="35">
        <f>S86*T86-P86-Q86-Y86-X86</f>
        <v>71.471249999999998</v>
      </c>
      <c r="V86" s="152"/>
      <c r="W86" s="152"/>
      <c r="X86" s="152"/>
      <c r="Y86" s="12"/>
    </row>
    <row r="87" spans="1:25" ht="30" x14ac:dyDescent="0.25">
      <c r="A87" s="145" t="s">
        <v>1290</v>
      </c>
      <c r="B87" s="145" t="s">
        <v>228</v>
      </c>
      <c r="C87" s="145" t="s">
        <v>1538</v>
      </c>
      <c r="D87" s="145" t="s">
        <v>55</v>
      </c>
      <c r="E87" s="235">
        <v>36.5</v>
      </c>
      <c r="F87" s="145" t="s">
        <v>4</v>
      </c>
      <c r="G87" s="5" t="s">
        <v>77</v>
      </c>
      <c r="H87" s="181" t="s">
        <v>738</v>
      </c>
      <c r="I87" s="5"/>
      <c r="J87" s="5" t="s">
        <v>194</v>
      </c>
      <c r="K87" s="21" t="s">
        <v>1448</v>
      </c>
      <c r="L87" s="179" t="s">
        <v>6</v>
      </c>
      <c r="M87" s="179" t="s">
        <v>7</v>
      </c>
      <c r="N87" s="150">
        <v>6775</v>
      </c>
      <c r="O87" s="150">
        <v>2125</v>
      </c>
      <c r="P87" s="152">
        <f t="shared" si="14"/>
        <v>14.396875</v>
      </c>
      <c r="Q87" s="12">
        <v>8.99</v>
      </c>
      <c r="R87" s="12">
        <v>1.2</v>
      </c>
      <c r="S87" s="152">
        <v>35.25</v>
      </c>
      <c r="T87" s="152">
        <v>2.7</v>
      </c>
      <c r="U87" s="35">
        <f>S87*T87-P87-Q87-Y87-X87</f>
        <v>71.788125000000022</v>
      </c>
      <c r="V87" s="152"/>
      <c r="W87" s="152"/>
      <c r="X87" s="152"/>
      <c r="Y87" s="12"/>
    </row>
    <row r="88" spans="1:25" ht="17.25" x14ac:dyDescent="0.25">
      <c r="B88" s="278" t="s">
        <v>1556</v>
      </c>
      <c r="E88" s="279">
        <f>SUM(E83:E87)</f>
        <v>171.5</v>
      </c>
      <c r="F88" s="278" t="s">
        <v>1560</v>
      </c>
    </row>
    <row r="89" spans="1:25" ht="30" x14ac:dyDescent="0.25">
      <c r="A89" s="151" t="s">
        <v>1539</v>
      </c>
      <c r="B89" s="151" t="s">
        <v>278</v>
      </c>
      <c r="C89" s="151" t="s">
        <v>1540</v>
      </c>
      <c r="D89" s="151" t="s">
        <v>1541</v>
      </c>
      <c r="E89" s="248">
        <v>5.2</v>
      </c>
      <c r="F89" s="151" t="s">
        <v>4</v>
      </c>
      <c r="G89" s="6" t="s">
        <v>77</v>
      </c>
      <c r="H89" s="181" t="s">
        <v>738</v>
      </c>
      <c r="I89" s="6"/>
      <c r="J89" s="6" t="s">
        <v>194</v>
      </c>
      <c r="K89" s="5" t="s">
        <v>1448</v>
      </c>
      <c r="L89" s="179" t="s">
        <v>6</v>
      </c>
      <c r="M89" s="6" t="s">
        <v>7</v>
      </c>
      <c r="N89" s="150">
        <v>1750</v>
      </c>
      <c r="O89" s="150">
        <v>2125</v>
      </c>
      <c r="P89" s="35">
        <f t="shared" ref="P89:P91" si="15">N89*O89*0.000001</f>
        <v>3.71875</v>
      </c>
      <c r="Q89" s="12"/>
      <c r="R89" s="12"/>
      <c r="S89" s="12">
        <v>14.28</v>
      </c>
      <c r="T89" s="12">
        <v>3</v>
      </c>
      <c r="U89" s="12">
        <f>S89*T89-P89</f>
        <v>39.121249999999996</v>
      </c>
      <c r="V89" s="12"/>
      <c r="W89" s="12"/>
      <c r="X89" s="12"/>
      <c r="Y89" s="12"/>
    </row>
    <row r="90" spans="1:25" ht="30" x14ac:dyDescent="0.25">
      <c r="A90" s="151" t="s">
        <v>1539</v>
      </c>
      <c r="B90" s="151" t="s">
        <v>278</v>
      </c>
      <c r="C90" s="151" t="s">
        <v>1542</v>
      </c>
      <c r="D90" s="151" t="s">
        <v>1498</v>
      </c>
      <c r="E90" s="248">
        <v>18.3</v>
      </c>
      <c r="F90" s="151" t="s">
        <v>4</v>
      </c>
      <c r="G90" s="6" t="s">
        <v>77</v>
      </c>
      <c r="H90" s="181" t="s">
        <v>738</v>
      </c>
      <c r="I90" s="6"/>
      <c r="J90" s="6" t="s">
        <v>194</v>
      </c>
      <c r="K90" s="21" t="s">
        <v>1448</v>
      </c>
      <c r="L90" s="179" t="s">
        <v>6</v>
      </c>
      <c r="M90" s="6" t="s">
        <v>7</v>
      </c>
      <c r="N90" s="150">
        <v>1350</v>
      </c>
      <c r="O90" s="150">
        <v>2125</v>
      </c>
      <c r="P90" s="35">
        <f t="shared" si="15"/>
        <v>2.8687499999999999</v>
      </c>
      <c r="Q90" s="12"/>
      <c r="R90" s="12"/>
      <c r="S90" s="12">
        <v>21.17</v>
      </c>
      <c r="T90" s="12">
        <v>5.5</v>
      </c>
      <c r="U90" s="12">
        <f>S90*T90-P90</f>
        <v>113.56625</v>
      </c>
      <c r="V90" s="12"/>
      <c r="W90" s="12"/>
      <c r="X90" s="12"/>
      <c r="Y90" s="12"/>
    </row>
    <row r="91" spans="1:25" ht="30" x14ac:dyDescent="0.25">
      <c r="A91" s="151" t="s">
        <v>1539</v>
      </c>
      <c r="B91" s="151" t="s">
        <v>278</v>
      </c>
      <c r="C91" s="151" t="s">
        <v>1543</v>
      </c>
      <c r="D91" s="151" t="s">
        <v>362</v>
      </c>
      <c r="E91" s="248">
        <v>10.3</v>
      </c>
      <c r="F91" s="151" t="s">
        <v>4</v>
      </c>
      <c r="G91" s="6" t="s">
        <v>229</v>
      </c>
      <c r="H91" s="181" t="s">
        <v>738</v>
      </c>
      <c r="I91" s="6"/>
      <c r="J91" s="6" t="s">
        <v>194</v>
      </c>
      <c r="K91" s="21" t="s">
        <v>1448</v>
      </c>
      <c r="L91" s="179" t="s">
        <v>6</v>
      </c>
      <c r="M91" s="6" t="s">
        <v>7</v>
      </c>
      <c r="N91" s="150">
        <v>4350</v>
      </c>
      <c r="O91" s="150">
        <v>2125</v>
      </c>
      <c r="P91" s="35">
        <f t="shared" si="15"/>
        <v>9.2437500000000004</v>
      </c>
      <c r="Q91" s="12"/>
      <c r="R91" s="12"/>
      <c r="S91" s="12">
        <v>13.19</v>
      </c>
      <c r="T91" s="12">
        <v>2.2999999999999998</v>
      </c>
      <c r="U91" s="12">
        <f>S91*T91-P91</f>
        <v>21.093249999999998</v>
      </c>
      <c r="V91" s="12"/>
      <c r="W91" s="12"/>
      <c r="X91" s="12"/>
      <c r="Y91" s="12"/>
    </row>
    <row r="92" spans="1:25" ht="30" x14ac:dyDescent="0.25">
      <c r="A92" s="151" t="s">
        <v>1539</v>
      </c>
      <c r="B92" s="151" t="s">
        <v>278</v>
      </c>
      <c r="C92" s="151" t="s">
        <v>1544</v>
      </c>
      <c r="D92" s="151" t="s">
        <v>55</v>
      </c>
      <c r="E92" s="248">
        <v>58.4</v>
      </c>
      <c r="F92" s="151" t="s">
        <v>4</v>
      </c>
      <c r="G92" s="6" t="s">
        <v>229</v>
      </c>
      <c r="H92" s="181" t="s">
        <v>738</v>
      </c>
      <c r="I92" s="6"/>
      <c r="J92" s="6" t="s">
        <v>194</v>
      </c>
      <c r="K92" s="21" t="s">
        <v>1448</v>
      </c>
      <c r="L92" s="179" t="s">
        <v>6</v>
      </c>
      <c r="M92" s="6" t="s">
        <v>7</v>
      </c>
      <c r="N92" s="150">
        <v>8500</v>
      </c>
      <c r="O92" s="150">
        <v>2125</v>
      </c>
      <c r="P92" s="35">
        <f>(N92*O92*0.000001)+3.08</f>
        <v>21.142499999999998</v>
      </c>
      <c r="Q92" s="12">
        <v>1.5</v>
      </c>
      <c r="R92" s="12"/>
      <c r="S92" s="12">
        <v>49.59</v>
      </c>
      <c r="T92" s="12">
        <v>2.2000000000000002</v>
      </c>
      <c r="U92" s="12">
        <f>S92*T92-X92-Q92-P92</f>
        <v>78.975500000000011</v>
      </c>
      <c r="V92" s="12"/>
      <c r="W92" s="12"/>
      <c r="X92" s="12">
        <v>7.48</v>
      </c>
      <c r="Y92" s="12"/>
    </row>
    <row r="93" spans="1:25" s="48" customFormat="1" ht="30" x14ac:dyDescent="0.25">
      <c r="A93" s="151" t="s">
        <v>1539</v>
      </c>
      <c r="B93" s="151" t="s">
        <v>278</v>
      </c>
      <c r="C93" s="151" t="s">
        <v>1545</v>
      </c>
      <c r="D93" s="151" t="s">
        <v>55</v>
      </c>
      <c r="E93" s="248">
        <v>6.7</v>
      </c>
      <c r="F93" s="151" t="s">
        <v>4</v>
      </c>
      <c r="G93" s="6" t="s">
        <v>229</v>
      </c>
      <c r="H93" s="181" t="s">
        <v>738</v>
      </c>
      <c r="I93" s="6"/>
      <c r="J93" s="6" t="s">
        <v>194</v>
      </c>
      <c r="K93" s="21" t="s">
        <v>1448</v>
      </c>
      <c r="L93" s="179" t="s">
        <v>6</v>
      </c>
      <c r="M93" s="6" t="s">
        <v>7</v>
      </c>
      <c r="N93" s="150">
        <v>4000</v>
      </c>
      <c r="O93" s="150">
        <v>2125</v>
      </c>
      <c r="P93" s="35">
        <f t="shared" ref="P93" si="16">N93*O93*0.000001</f>
        <v>8.5</v>
      </c>
      <c r="Q93" s="12"/>
      <c r="R93" s="12"/>
      <c r="S93" s="12">
        <v>10.36</v>
      </c>
      <c r="T93" s="12">
        <v>2.2000000000000002</v>
      </c>
      <c r="U93" s="12">
        <f>S93*T93-P93</f>
        <v>14.292000000000002</v>
      </c>
      <c r="V93" s="12"/>
      <c r="W93" s="12"/>
      <c r="X93" s="12"/>
      <c r="Y93" s="12"/>
    </row>
    <row r="94" spans="1:25" ht="17.25" x14ac:dyDescent="0.25">
      <c r="B94" s="278" t="s">
        <v>1555</v>
      </c>
      <c r="E94" s="279">
        <f>SUM(E89:E93)</f>
        <v>98.899999999999991</v>
      </c>
      <c r="F94" s="278" t="s">
        <v>1560</v>
      </c>
    </row>
    <row r="95" spans="1:25" ht="30" x14ac:dyDescent="0.25">
      <c r="A95" s="151" t="s">
        <v>1546</v>
      </c>
      <c r="B95" s="151" t="s">
        <v>278</v>
      </c>
      <c r="C95" s="151" t="s">
        <v>1547</v>
      </c>
      <c r="D95" s="151" t="s">
        <v>1456</v>
      </c>
      <c r="E95" s="248">
        <v>29</v>
      </c>
      <c r="F95" s="151" t="s">
        <v>4</v>
      </c>
      <c r="G95" s="265" t="s">
        <v>229</v>
      </c>
      <c r="H95" s="181" t="s">
        <v>738</v>
      </c>
      <c r="I95" s="265"/>
      <c r="J95" s="265" t="s">
        <v>194</v>
      </c>
      <c r="K95" s="5" t="s">
        <v>1448</v>
      </c>
      <c r="L95" s="139" t="s">
        <v>6</v>
      </c>
      <c r="M95" s="139" t="s">
        <v>7</v>
      </c>
      <c r="N95" s="139">
        <v>3300</v>
      </c>
      <c r="O95" s="139">
        <v>2125</v>
      </c>
      <c r="P95" s="141">
        <f>N95*O95*0.000001</f>
        <v>7.0124999999999993</v>
      </c>
      <c r="Q95" s="139"/>
      <c r="R95" s="139"/>
      <c r="S95" s="139">
        <v>22.34</v>
      </c>
      <c r="T95" s="139">
        <v>3</v>
      </c>
      <c r="U95" s="141">
        <f>S95*T95-P95-Q95-6.38-X95</f>
        <v>44.55749999999999</v>
      </c>
      <c r="V95" s="141"/>
      <c r="W95" s="141"/>
      <c r="X95" s="141">
        <v>9.07</v>
      </c>
      <c r="Y95" s="139"/>
    </row>
    <row r="96" spans="1:25" ht="30" x14ac:dyDescent="0.25">
      <c r="A96" s="151" t="s">
        <v>1546</v>
      </c>
      <c r="B96" s="151" t="s">
        <v>278</v>
      </c>
      <c r="C96" s="151" t="s">
        <v>1548</v>
      </c>
      <c r="D96" s="1" t="s">
        <v>1549</v>
      </c>
      <c r="E96" s="248">
        <v>4.9000000000000004</v>
      </c>
      <c r="F96" s="1" t="s">
        <v>4</v>
      </c>
      <c r="G96" s="265" t="s">
        <v>229</v>
      </c>
      <c r="H96" s="181" t="s">
        <v>738</v>
      </c>
      <c r="I96" s="265"/>
      <c r="J96" s="265" t="s">
        <v>194</v>
      </c>
      <c r="K96" s="21" t="s">
        <v>1448</v>
      </c>
      <c r="L96" s="139" t="s">
        <v>6</v>
      </c>
      <c r="M96" s="139" t="s">
        <v>7</v>
      </c>
      <c r="N96" s="139">
        <v>1800</v>
      </c>
      <c r="O96" s="139">
        <v>2125</v>
      </c>
      <c r="P96" s="141">
        <f t="shared" ref="P96:P97" si="17">N96*O96*0.000001</f>
        <v>3.8249999999999997</v>
      </c>
      <c r="Q96" s="139">
        <v>4.32</v>
      </c>
      <c r="R96" s="139"/>
      <c r="S96" s="139">
        <v>8.83</v>
      </c>
      <c r="T96" s="139">
        <v>3</v>
      </c>
      <c r="U96" s="141">
        <f>S96*T96-P96-Q96</f>
        <v>18.345000000000002</v>
      </c>
      <c r="V96" s="141"/>
      <c r="W96" s="141"/>
      <c r="X96" s="141"/>
      <c r="Y96" s="139"/>
    </row>
    <row r="97" spans="1:25" ht="30" x14ac:dyDescent="0.25">
      <c r="A97" s="151" t="s">
        <v>1546</v>
      </c>
      <c r="B97" s="151" t="s">
        <v>278</v>
      </c>
      <c r="C97" s="151" t="s">
        <v>1548</v>
      </c>
      <c r="D97" s="1" t="s">
        <v>1541</v>
      </c>
      <c r="E97" s="248">
        <v>9.1</v>
      </c>
      <c r="F97" s="151" t="s">
        <v>4</v>
      </c>
      <c r="G97" s="265" t="s">
        <v>229</v>
      </c>
      <c r="H97" s="181" t="s">
        <v>738</v>
      </c>
      <c r="I97" s="265"/>
      <c r="J97" s="265" t="s">
        <v>194</v>
      </c>
      <c r="K97" s="21" t="s">
        <v>1448</v>
      </c>
      <c r="L97" s="267" t="s">
        <v>6</v>
      </c>
      <c r="M97" s="267"/>
      <c r="N97" s="271"/>
      <c r="O97" s="271"/>
      <c r="P97" s="141">
        <f t="shared" si="17"/>
        <v>0</v>
      </c>
      <c r="Q97" s="267"/>
      <c r="R97" s="267"/>
      <c r="S97" s="267">
        <v>9.42</v>
      </c>
      <c r="T97" s="267">
        <v>5.5</v>
      </c>
      <c r="U97" s="141">
        <f>S97*T97-P97-Q97</f>
        <v>51.81</v>
      </c>
      <c r="V97" s="272"/>
      <c r="W97" s="272"/>
      <c r="X97" s="272"/>
      <c r="Y97" s="267"/>
    </row>
    <row r="98" spans="1:25" ht="17.25" x14ac:dyDescent="0.25">
      <c r="B98" s="278" t="s">
        <v>1554</v>
      </c>
      <c r="E98" s="279">
        <f>SUM(E95:E97)</f>
        <v>43</v>
      </c>
      <c r="F98" s="278" t="s">
        <v>1560</v>
      </c>
    </row>
    <row r="99" spans="1:25" s="278" customFormat="1" ht="17.25" x14ac:dyDescent="0.25">
      <c r="C99" s="280" t="s">
        <v>1550</v>
      </c>
      <c r="E99" s="279">
        <f>E17+E36+E61+E67+E73+E82+E88+E94+E98</f>
        <v>3647.2300000000005</v>
      </c>
      <c r="F99" s="278" t="s">
        <v>1560</v>
      </c>
    </row>
    <row r="101" spans="1:25" x14ac:dyDescent="0.25">
      <c r="C101" s="278" t="s">
        <v>1807</v>
      </c>
      <c r="D101" s="342"/>
      <c r="E101" s="358"/>
      <c r="F101" s="65"/>
    </row>
    <row r="102" spans="1:25" ht="17.25" x14ac:dyDescent="0.25">
      <c r="C102" s="65"/>
      <c r="D102" s="358" t="s">
        <v>1808</v>
      </c>
      <c r="E102" s="345">
        <f>E18+SUM(E74:E75)</f>
        <v>53.900000000000006</v>
      </c>
      <c r="F102" s="342" t="s">
        <v>1560</v>
      </c>
    </row>
    <row r="103" spans="1:25" ht="17.25" x14ac:dyDescent="0.25">
      <c r="C103" s="65"/>
      <c r="D103" s="358" t="s">
        <v>37</v>
      </c>
      <c r="E103" s="345">
        <f>0</f>
        <v>0</v>
      </c>
      <c r="F103" s="342" t="s">
        <v>1560</v>
      </c>
    </row>
    <row r="104" spans="1:25" ht="17.25" x14ac:dyDescent="0.25">
      <c r="C104" s="65"/>
      <c r="D104" s="358" t="s">
        <v>77</v>
      </c>
      <c r="E104" s="345">
        <f>SUM(E5:E16)+SUM(E19:E35)+SUM(E37:E60)+SUM(E62:E66)+SUM(E68:E72)+SUM(E76:E81)+SUM(E83:E87)+SUM(E89:E90)</f>
        <v>3474.9300000000003</v>
      </c>
      <c r="F104" s="342" t="s">
        <v>1560</v>
      </c>
    </row>
    <row r="105" spans="1:25" ht="17.25" x14ac:dyDescent="0.25">
      <c r="C105" s="65"/>
      <c r="D105" s="358" t="s">
        <v>229</v>
      </c>
      <c r="E105" s="345">
        <f>SUM(E91:E93)+SUM(E95:E97)</f>
        <v>118.4</v>
      </c>
      <c r="F105" s="342" t="s">
        <v>1560</v>
      </c>
    </row>
    <row r="106" spans="1:25" ht="17.25" x14ac:dyDescent="0.25">
      <c r="C106" s="65"/>
      <c r="D106" s="359" t="s">
        <v>274</v>
      </c>
      <c r="E106" s="345">
        <f>SUM(E102:E105)</f>
        <v>3647.2300000000005</v>
      </c>
      <c r="F106" s="342" t="s">
        <v>1560</v>
      </c>
    </row>
    <row r="107" spans="1:25" x14ac:dyDescent="0.25">
      <c r="C107" s="65"/>
      <c r="D107" s="359"/>
      <c r="E107" s="345"/>
      <c r="F107" s="342"/>
    </row>
    <row r="108" spans="1:25" x14ac:dyDescent="0.25">
      <c r="C108" s="278" t="s">
        <v>1989</v>
      </c>
    </row>
    <row r="109" spans="1:25" x14ac:dyDescent="0.25">
      <c r="C109" s="504" t="s">
        <v>1968</v>
      </c>
      <c r="D109" s="305"/>
      <c r="E109" s="503" t="s">
        <v>1971</v>
      </c>
    </row>
    <row r="110" spans="1:25" x14ac:dyDescent="0.25">
      <c r="C110" s="278" t="s">
        <v>2006</v>
      </c>
    </row>
    <row r="111" spans="1:25" x14ac:dyDescent="0.25">
      <c r="C111" s="284" t="s">
        <v>2081</v>
      </c>
    </row>
  </sheetData>
  <sheetProtection password="87E5" sheet="1" objects="1" scenarios="1"/>
  <mergeCells count="22">
    <mergeCell ref="Y1:Y4"/>
    <mergeCell ref="K1:K4"/>
    <mergeCell ref="L1:L4"/>
    <mergeCell ref="M1:O4"/>
    <mergeCell ref="P1:P4"/>
    <mergeCell ref="Q1:Q4"/>
    <mergeCell ref="R1:R4"/>
    <mergeCell ref="U2:V2"/>
    <mergeCell ref="W2:X2"/>
    <mergeCell ref="U1:X1"/>
    <mergeCell ref="U3:U4"/>
    <mergeCell ref="V3:V4"/>
    <mergeCell ref="W3:W4"/>
    <mergeCell ref="X3:X4"/>
    <mergeCell ref="S1:S4"/>
    <mergeCell ref="T1:T4"/>
    <mergeCell ref="A1:F3"/>
    <mergeCell ref="E4:F4"/>
    <mergeCell ref="G1:G4"/>
    <mergeCell ref="I1:I4"/>
    <mergeCell ref="J1:J4"/>
    <mergeCell ref="H1:H4"/>
  </mergeCells>
  <dataValidations count="2">
    <dataValidation type="list" allowBlank="1" showInputMessage="1" showErrorMessage="1" sqref="G74:H81 H18:H60 G18:G29 G89:H93 H95:H97 G5:H16 G32:G35 G62:H66 G83:H87 G68:H72">
      <formula1>kat</formula1>
    </dataValidation>
    <dataValidation type="list" allowBlank="1" showInputMessage="1" showErrorMessage="1" sqref="G95:G97">
      <formula1>kategória</formula1>
    </dataValidation>
  </dataValidations>
  <pageMargins left="0.11811023622047245" right="0.11811023622047245" top="0.35433070866141736" bottom="0.51181102362204722" header="0.31496062992125984" footer="0.31496062992125984"/>
  <pageSetup paperSize="9" scale="68" fitToHeight="0" orientation="landscape" r:id="rId1"/>
  <headerFoot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9" sqref="I9"/>
    </sheetView>
  </sheetViews>
  <sheetFormatPr defaultRowHeight="15" x14ac:dyDescent="0.25"/>
  <cols>
    <col min="1" max="1" width="3.5703125" style="392" bestFit="1" customWidth="1"/>
    <col min="2" max="2" width="37.5703125" style="371" customWidth="1"/>
    <col min="3" max="3" width="11.7109375" style="370" customWidth="1"/>
    <col min="4" max="4" width="12.28515625" style="370" customWidth="1"/>
    <col min="5" max="5" width="14.5703125" style="370" bestFit="1" customWidth="1"/>
    <col min="6" max="6" width="11.7109375" style="370" customWidth="1"/>
    <col min="7" max="7" width="10.7109375" style="370" customWidth="1"/>
    <col min="8" max="8" width="15" style="370" bestFit="1" customWidth="1"/>
    <col min="9" max="9" width="11.7109375" style="370" customWidth="1"/>
    <col min="10" max="10" width="10.7109375" style="370" customWidth="1"/>
    <col min="11" max="11" width="14.5703125" style="370" bestFit="1" customWidth="1"/>
    <col min="12" max="12" width="11.7109375" style="370" customWidth="1"/>
    <col min="13" max="13" width="10.7109375" style="370" customWidth="1"/>
    <col min="14" max="14" width="14.5703125" style="370" customWidth="1"/>
    <col min="15" max="15" width="11.7109375" style="370" customWidth="1"/>
    <col min="16" max="16" width="10.7109375" style="370" customWidth="1"/>
    <col min="17" max="17" width="13.85546875" style="370" bestFit="1" customWidth="1"/>
    <col min="18" max="18" width="12" style="370" bestFit="1" customWidth="1"/>
    <col min="19" max="19" width="16.42578125" style="370" customWidth="1"/>
    <col min="20" max="20" width="3.28515625" style="370" customWidth="1"/>
    <col min="21" max="21" width="8" style="388" hidden="1" customWidth="1"/>
    <col min="22" max="22" width="11.42578125" style="370" hidden="1" customWidth="1"/>
    <col min="23" max="23" width="3.85546875" style="370" hidden="1" customWidth="1"/>
    <col min="24" max="24" width="9.85546875" style="370" hidden="1" customWidth="1"/>
    <col min="25" max="25" width="12.140625" style="370" hidden="1" customWidth="1"/>
    <col min="26" max="26" width="11.42578125" style="370" hidden="1" customWidth="1"/>
    <col min="27" max="27" width="9.140625" style="370" hidden="1" customWidth="1"/>
    <col min="28" max="28" width="16.85546875" style="414" hidden="1" customWidth="1"/>
    <col min="29" max="29" width="7.42578125" style="414" hidden="1" customWidth="1"/>
    <col min="30" max="30" width="10.7109375" style="370" hidden="1" customWidth="1"/>
    <col min="31" max="31" width="4.42578125" style="370" hidden="1" customWidth="1"/>
    <col min="32" max="33" width="9.140625" style="370" hidden="1" customWidth="1"/>
    <col min="34" max="35" width="0" style="370" hidden="1" customWidth="1"/>
    <col min="36" max="16384" width="9.140625" style="370"/>
  </cols>
  <sheetData>
    <row r="2" spans="1:31" s="388" customFormat="1" ht="18.75" x14ac:dyDescent="0.25">
      <c r="A2" s="576" t="s">
        <v>2012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AB2" s="414"/>
      <c r="AC2" s="414"/>
    </row>
    <row r="3" spans="1:31" s="388" customFormat="1" ht="18.75" x14ac:dyDescent="0.2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AB3" s="414"/>
      <c r="AC3" s="414"/>
    </row>
    <row r="4" spans="1:31" s="389" customFormat="1" x14ac:dyDescent="0.25">
      <c r="A4" s="577" t="s">
        <v>1805</v>
      </c>
      <c r="B4" s="573"/>
      <c r="C4" s="581" t="s">
        <v>112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U4" s="582" t="s">
        <v>1824</v>
      </c>
      <c r="V4" s="583" t="s">
        <v>1842</v>
      </c>
      <c r="X4" s="575" t="s">
        <v>1959</v>
      </c>
      <c r="Y4" s="573" t="s">
        <v>1960</v>
      </c>
      <c r="AB4" s="415"/>
      <c r="AC4" s="415"/>
    </row>
    <row r="5" spans="1:31" s="389" customFormat="1" x14ac:dyDescent="0.25">
      <c r="A5" s="578"/>
      <c r="B5" s="574"/>
      <c r="C5" s="584" t="s">
        <v>5</v>
      </c>
      <c r="D5" s="585"/>
      <c r="E5" s="586"/>
      <c r="F5" s="587" t="s">
        <v>37</v>
      </c>
      <c r="G5" s="588"/>
      <c r="H5" s="589"/>
      <c r="I5" s="590" t="s">
        <v>361</v>
      </c>
      <c r="J5" s="591"/>
      <c r="K5" s="592"/>
      <c r="L5" s="598" t="s">
        <v>278</v>
      </c>
      <c r="M5" s="599"/>
      <c r="N5" s="600"/>
      <c r="O5" s="593" t="s">
        <v>229</v>
      </c>
      <c r="P5" s="594"/>
      <c r="Q5" s="595"/>
      <c r="R5" s="596" t="s">
        <v>1931</v>
      </c>
      <c r="S5" s="597"/>
      <c r="U5" s="582"/>
      <c r="V5" s="583"/>
      <c r="X5" s="575"/>
      <c r="Y5" s="574"/>
      <c r="AB5" s="415"/>
      <c r="AC5" s="415"/>
    </row>
    <row r="6" spans="1:31" s="389" customFormat="1" ht="32.25" x14ac:dyDescent="0.25">
      <c r="A6" s="579"/>
      <c r="B6" s="580"/>
      <c r="C6" s="494" t="s">
        <v>1560</v>
      </c>
      <c r="D6" s="495" t="s">
        <v>1840</v>
      </c>
      <c r="E6" s="398" t="s">
        <v>1841</v>
      </c>
      <c r="F6" s="494" t="s">
        <v>1560</v>
      </c>
      <c r="G6" s="495" t="s">
        <v>1840</v>
      </c>
      <c r="H6" s="399" t="s">
        <v>1841</v>
      </c>
      <c r="I6" s="494" t="s">
        <v>1560</v>
      </c>
      <c r="J6" s="495" t="s">
        <v>1840</v>
      </c>
      <c r="K6" s="401" t="s">
        <v>1841</v>
      </c>
      <c r="L6" s="494" t="s">
        <v>1560</v>
      </c>
      <c r="M6" s="495" t="s">
        <v>1840</v>
      </c>
      <c r="N6" s="515" t="s">
        <v>1841</v>
      </c>
      <c r="O6" s="494" t="s">
        <v>1560</v>
      </c>
      <c r="P6" s="495" t="s">
        <v>1840</v>
      </c>
      <c r="Q6" s="402" t="s">
        <v>1841</v>
      </c>
      <c r="R6" s="494" t="s">
        <v>1560</v>
      </c>
      <c r="S6" s="400" t="s">
        <v>1841</v>
      </c>
      <c r="U6" s="582"/>
      <c r="V6" s="583"/>
      <c r="X6" s="575"/>
      <c r="Y6" s="574"/>
      <c r="Z6" s="489" t="s">
        <v>1826</v>
      </c>
      <c r="AA6" s="413" t="s">
        <v>1827</v>
      </c>
      <c r="AB6" s="416"/>
      <c r="AC6" s="415"/>
    </row>
    <row r="7" spans="1:31" x14ac:dyDescent="0.25">
      <c r="A7" s="391" t="s">
        <v>1780</v>
      </c>
      <c r="B7" s="393" t="s">
        <v>1845</v>
      </c>
      <c r="C7" s="377">
        <f>'Közp. Gyógyszerr. (3)'!E26</f>
        <v>162.69999999999999</v>
      </c>
      <c r="D7" s="377">
        <f t="shared" ref="D7:D22" si="0">$D$38</f>
        <v>0</v>
      </c>
      <c r="E7" s="378">
        <f>C7*D7*X7</f>
        <v>0</v>
      </c>
      <c r="F7" s="377">
        <v>0</v>
      </c>
      <c r="G7" s="377">
        <f t="shared" ref="G7:G22" si="1">$D$39</f>
        <v>0</v>
      </c>
      <c r="H7" s="379">
        <f>F7*G7*X7</f>
        <v>0</v>
      </c>
      <c r="I7" s="377">
        <f>'Közp. Gyógyszerr. (3)'!E28</f>
        <v>108.10000000000001</v>
      </c>
      <c r="J7" s="377">
        <f t="shared" ref="J7:J22" si="2">$D$40</f>
        <v>0</v>
      </c>
      <c r="K7" s="380">
        <f>I7*J7*X7</f>
        <v>0</v>
      </c>
      <c r="L7" s="510">
        <v>0</v>
      </c>
      <c r="M7" s="377">
        <f>$D$41</f>
        <v>0</v>
      </c>
      <c r="N7" s="514">
        <f>L7*M7*X7</f>
        <v>0</v>
      </c>
      <c r="O7" s="377">
        <v>0</v>
      </c>
      <c r="P7" s="377">
        <f t="shared" ref="P7:P22" si="3">$D$42</f>
        <v>0</v>
      </c>
      <c r="Q7" s="381">
        <f>O7*P7*X7</f>
        <v>0</v>
      </c>
      <c r="R7" s="377">
        <f>C7+F7+I7+L7+O7</f>
        <v>270.8</v>
      </c>
      <c r="S7" s="382">
        <f>E7+H7+K7+N7+Q7</f>
        <v>0</v>
      </c>
      <c r="U7" s="388">
        <f>R7-'Közp. Gyógyszerr. (3)'!E23</f>
        <v>0</v>
      </c>
      <c r="V7" s="377">
        <f>S7/R7/X7</f>
        <v>0</v>
      </c>
      <c r="X7" s="377">
        <v>21</v>
      </c>
      <c r="Y7" s="420">
        <f>X7*R7</f>
        <v>5686.8</v>
      </c>
    </row>
    <row r="8" spans="1:31" x14ac:dyDescent="0.25">
      <c r="A8" s="391" t="s">
        <v>1781</v>
      </c>
      <c r="B8" s="393" t="s">
        <v>1844</v>
      </c>
      <c r="C8" s="377">
        <f>'Közp. Ágymosó (4)'!E26</f>
        <v>163.80000000000001</v>
      </c>
      <c r="D8" s="377">
        <f t="shared" si="0"/>
        <v>0</v>
      </c>
      <c r="E8" s="378">
        <f t="shared" ref="E8:E21" si="4">C8*D8*X8</f>
        <v>0</v>
      </c>
      <c r="F8" s="377">
        <f>'Közp. Ágymosó (4)'!E27</f>
        <v>0</v>
      </c>
      <c r="G8" s="377">
        <f t="shared" si="1"/>
        <v>0</v>
      </c>
      <c r="H8" s="379">
        <f t="shared" ref="H8:H21" si="5">F8*G8*X8</f>
        <v>0</v>
      </c>
      <c r="I8" s="377">
        <f>'Közp. Ágymosó (4)'!E28</f>
        <v>69.800000000000011</v>
      </c>
      <c r="J8" s="377">
        <f t="shared" si="2"/>
        <v>0</v>
      </c>
      <c r="K8" s="380">
        <f t="shared" ref="K8:K21" si="6">I8*J8*X8</f>
        <v>0</v>
      </c>
      <c r="L8" s="510">
        <v>0</v>
      </c>
      <c r="M8" s="377">
        <f t="shared" ref="M8:M35" si="7">$D$41</f>
        <v>0</v>
      </c>
      <c r="N8" s="514">
        <f t="shared" ref="N8:N21" si="8">L8*M8*X8</f>
        <v>0</v>
      </c>
      <c r="O8" s="377">
        <f>'Közp. Ágymosó (4)'!E29</f>
        <v>0</v>
      </c>
      <c r="P8" s="377">
        <f t="shared" si="3"/>
        <v>0</v>
      </c>
      <c r="Q8" s="381">
        <f t="shared" ref="Q8:Q21" si="9">O8*P8*X8</f>
        <v>0</v>
      </c>
      <c r="R8" s="377">
        <f t="shared" ref="R8:R21" si="10">C8+F8+I8+L8+O8</f>
        <v>233.60000000000002</v>
      </c>
      <c r="S8" s="382">
        <f t="shared" ref="S8:S21" si="11">E8+H8+K8+N8+Q8</f>
        <v>0</v>
      </c>
      <c r="U8" s="388">
        <f>R8-'Közp. Ágymosó (4)'!E23</f>
        <v>0</v>
      </c>
      <c r="V8" s="377">
        <f t="shared" ref="V8:V21" si="12">S8/R8/X8</f>
        <v>0</v>
      </c>
      <c r="X8" s="377">
        <v>21</v>
      </c>
      <c r="Y8" s="420">
        <f t="shared" ref="Y8:Y21" si="13">X8*R8</f>
        <v>4905.6000000000004</v>
      </c>
    </row>
    <row r="9" spans="1:31" x14ac:dyDescent="0.25">
      <c r="A9" s="391" t="s">
        <v>1782</v>
      </c>
      <c r="B9" s="393" t="s">
        <v>1820</v>
      </c>
      <c r="C9" s="377">
        <f>'SBO (5)'!E89</f>
        <v>0</v>
      </c>
      <c r="D9" s="377">
        <f t="shared" si="0"/>
        <v>0</v>
      </c>
      <c r="E9" s="378">
        <f t="shared" si="4"/>
        <v>0</v>
      </c>
      <c r="F9" s="377">
        <f>'SBO (5)'!E90</f>
        <v>1257.6999999999998</v>
      </c>
      <c r="G9" s="377">
        <f t="shared" si="1"/>
        <v>0</v>
      </c>
      <c r="H9" s="379">
        <f t="shared" si="5"/>
        <v>0</v>
      </c>
      <c r="I9" s="377">
        <f>'SBO (5)'!E91</f>
        <v>162.70000000000005</v>
      </c>
      <c r="J9" s="377">
        <f t="shared" si="2"/>
        <v>0</v>
      </c>
      <c r="K9" s="380">
        <f t="shared" si="6"/>
        <v>0</v>
      </c>
      <c r="L9" s="510">
        <v>0</v>
      </c>
      <c r="M9" s="377">
        <f t="shared" si="7"/>
        <v>0</v>
      </c>
      <c r="N9" s="514">
        <f t="shared" si="8"/>
        <v>0</v>
      </c>
      <c r="O9" s="377">
        <f>'SBO (5)'!E92</f>
        <v>0</v>
      </c>
      <c r="P9" s="377">
        <f t="shared" si="3"/>
        <v>0</v>
      </c>
      <c r="Q9" s="381">
        <f t="shared" si="9"/>
        <v>0</v>
      </c>
      <c r="R9" s="377">
        <f t="shared" si="10"/>
        <v>1420.3999999999999</v>
      </c>
      <c r="S9" s="382">
        <f t="shared" si="11"/>
        <v>0</v>
      </c>
      <c r="U9" s="388">
        <f>R9-'SBO (5)'!E86</f>
        <v>0</v>
      </c>
      <c r="V9" s="377">
        <f t="shared" si="12"/>
        <v>0</v>
      </c>
      <c r="X9" s="377">
        <v>30.42</v>
      </c>
      <c r="Y9" s="420">
        <f t="shared" si="13"/>
        <v>43208.567999999999</v>
      </c>
      <c r="Z9" s="370">
        <f>R9</f>
        <v>1420.3999999999999</v>
      </c>
    </row>
    <row r="10" spans="1:31" x14ac:dyDescent="0.25">
      <c r="A10" s="391" t="s">
        <v>1783</v>
      </c>
      <c r="B10" s="393" t="s">
        <v>1846</v>
      </c>
      <c r="C10" s="377">
        <f>'Közp. radiológia (6)'!E125</f>
        <v>1251.0599999999997</v>
      </c>
      <c r="D10" s="377">
        <f t="shared" si="0"/>
        <v>0</v>
      </c>
      <c r="E10" s="378">
        <f t="shared" si="4"/>
        <v>0</v>
      </c>
      <c r="F10" s="377">
        <f>'Közp. radiológia (6)'!E126</f>
        <v>0</v>
      </c>
      <c r="G10" s="377">
        <f t="shared" si="1"/>
        <v>0</v>
      </c>
      <c r="H10" s="379">
        <f t="shared" si="5"/>
        <v>0</v>
      </c>
      <c r="I10" s="377">
        <f>'Közp. radiológia (6)'!E127</f>
        <v>377.1</v>
      </c>
      <c r="J10" s="377">
        <f t="shared" si="2"/>
        <v>0</v>
      </c>
      <c r="K10" s="380">
        <f t="shared" si="6"/>
        <v>0</v>
      </c>
      <c r="L10" s="510">
        <v>0</v>
      </c>
      <c r="M10" s="377">
        <f t="shared" si="7"/>
        <v>0</v>
      </c>
      <c r="N10" s="514">
        <f t="shared" si="8"/>
        <v>0</v>
      </c>
      <c r="O10" s="377">
        <f>'Közp. radiológia (6)'!E128</f>
        <v>0</v>
      </c>
      <c r="P10" s="377">
        <f t="shared" si="3"/>
        <v>0</v>
      </c>
      <c r="Q10" s="381">
        <f t="shared" si="9"/>
        <v>0</v>
      </c>
      <c r="R10" s="377">
        <f t="shared" si="10"/>
        <v>1628.1599999999999</v>
      </c>
      <c r="S10" s="382">
        <f t="shared" si="11"/>
        <v>0</v>
      </c>
      <c r="U10" s="388">
        <f>R10-'Közp. radiológia (6)'!E122</f>
        <v>0</v>
      </c>
      <c r="V10" s="377">
        <f t="shared" si="12"/>
        <v>0</v>
      </c>
      <c r="X10" s="377">
        <v>21</v>
      </c>
      <c r="Y10" s="420">
        <f t="shared" si="13"/>
        <v>34191.360000000001</v>
      </c>
    </row>
    <row r="11" spans="1:31" x14ac:dyDescent="0.25">
      <c r="A11" s="391" t="s">
        <v>1784</v>
      </c>
      <c r="B11" s="408" t="s">
        <v>377</v>
      </c>
      <c r="C11" s="377">
        <f>'Ortopédia (7)'!E69</f>
        <v>724.11000000000013</v>
      </c>
      <c r="D11" s="377">
        <f t="shared" si="0"/>
        <v>0</v>
      </c>
      <c r="E11" s="378">
        <f t="shared" si="4"/>
        <v>0</v>
      </c>
      <c r="F11" s="377">
        <f>'Ortopédia (7)'!E70</f>
        <v>0</v>
      </c>
      <c r="G11" s="377">
        <f t="shared" si="1"/>
        <v>0</v>
      </c>
      <c r="H11" s="379">
        <f t="shared" si="5"/>
        <v>0</v>
      </c>
      <c r="I11" s="377">
        <f>'Ortopédia (7)'!E71</f>
        <v>0</v>
      </c>
      <c r="J11" s="377">
        <f t="shared" si="2"/>
        <v>0</v>
      </c>
      <c r="K11" s="380">
        <f t="shared" si="6"/>
        <v>0</v>
      </c>
      <c r="L11" s="510">
        <v>0</v>
      </c>
      <c r="M11" s="377">
        <f t="shared" si="7"/>
        <v>0</v>
      </c>
      <c r="N11" s="514">
        <f t="shared" si="8"/>
        <v>0</v>
      </c>
      <c r="O11" s="377">
        <f>'Ortopédia (7)'!E72</f>
        <v>123.71000000000001</v>
      </c>
      <c r="P11" s="377">
        <f t="shared" si="3"/>
        <v>0</v>
      </c>
      <c r="Q11" s="381">
        <f t="shared" si="9"/>
        <v>0</v>
      </c>
      <c r="R11" s="377">
        <f t="shared" si="10"/>
        <v>847.82000000000016</v>
      </c>
      <c r="S11" s="382">
        <f t="shared" si="11"/>
        <v>0</v>
      </c>
      <c r="U11" s="388">
        <f>R11-'Ortopédia (7)'!E64</f>
        <v>0</v>
      </c>
      <c r="V11" s="377">
        <f t="shared" si="12"/>
        <v>0</v>
      </c>
      <c r="X11" s="377">
        <v>21</v>
      </c>
      <c r="Y11" s="420">
        <f t="shared" si="13"/>
        <v>17804.220000000005</v>
      </c>
    </row>
    <row r="12" spans="1:31" x14ac:dyDescent="0.25">
      <c r="A12" s="391" t="s">
        <v>1785</v>
      </c>
      <c r="B12" s="393" t="s">
        <v>1847</v>
      </c>
      <c r="C12" s="377">
        <f>'Közp. sterilizáló (8)'!E39</f>
        <v>0</v>
      </c>
      <c r="D12" s="377">
        <f t="shared" si="0"/>
        <v>0</v>
      </c>
      <c r="E12" s="378">
        <f t="shared" si="4"/>
        <v>0</v>
      </c>
      <c r="F12" s="377">
        <f>'Közp. sterilizáló (8)'!E40</f>
        <v>447.7000000000001</v>
      </c>
      <c r="G12" s="377">
        <f t="shared" si="1"/>
        <v>0</v>
      </c>
      <c r="H12" s="379">
        <f t="shared" si="5"/>
        <v>0</v>
      </c>
      <c r="I12" s="377">
        <f>'Közp. sterilizáló (8)'!E41</f>
        <v>6.8</v>
      </c>
      <c r="J12" s="377">
        <f t="shared" si="2"/>
        <v>0</v>
      </c>
      <c r="K12" s="380">
        <f t="shared" si="6"/>
        <v>0</v>
      </c>
      <c r="L12" s="510">
        <v>0</v>
      </c>
      <c r="M12" s="377">
        <f t="shared" si="7"/>
        <v>0</v>
      </c>
      <c r="N12" s="514">
        <f t="shared" si="8"/>
        <v>0</v>
      </c>
      <c r="O12" s="377">
        <f>'Közp. sterilizáló (8)'!E42</f>
        <v>0</v>
      </c>
      <c r="P12" s="377">
        <f t="shared" si="3"/>
        <v>0</v>
      </c>
      <c r="Q12" s="381">
        <f t="shared" si="9"/>
        <v>0</v>
      </c>
      <c r="R12" s="377">
        <f t="shared" si="10"/>
        <v>454.50000000000011</v>
      </c>
      <c r="S12" s="382">
        <f t="shared" si="11"/>
        <v>0</v>
      </c>
      <c r="U12" s="388">
        <f>R12-'Közp. sterilizáló (8)'!E36</f>
        <v>0</v>
      </c>
      <c r="V12" s="377">
        <f t="shared" si="12"/>
        <v>0</v>
      </c>
      <c r="X12" s="377">
        <v>30.42</v>
      </c>
      <c r="Y12" s="420">
        <f t="shared" si="13"/>
        <v>13825.890000000005</v>
      </c>
      <c r="Z12" s="370">
        <f>R12</f>
        <v>454.50000000000011</v>
      </c>
      <c r="AB12" s="428"/>
      <c r="AC12" s="484" t="s">
        <v>1939</v>
      </c>
      <c r="AD12" s="487">
        <v>31</v>
      </c>
      <c r="AE12" s="423" t="s">
        <v>1833</v>
      </c>
    </row>
    <row r="13" spans="1:31" x14ac:dyDescent="0.25">
      <c r="A13" s="391" t="s">
        <v>1786</v>
      </c>
      <c r="B13" s="458" t="s">
        <v>1848</v>
      </c>
      <c r="C13" s="377">
        <f>'Egyéb (9)'!E18</f>
        <v>0</v>
      </c>
      <c r="D13" s="377">
        <f t="shared" si="0"/>
        <v>0</v>
      </c>
      <c r="E13" s="378">
        <f t="shared" si="4"/>
        <v>0</v>
      </c>
      <c r="F13" s="377">
        <f>'Egyéb (9)'!E19</f>
        <v>0</v>
      </c>
      <c r="G13" s="377">
        <f t="shared" si="1"/>
        <v>0</v>
      </c>
      <c r="H13" s="379">
        <f t="shared" si="5"/>
        <v>0</v>
      </c>
      <c r="I13" s="377">
        <f>'Egyéb (9)'!E20</f>
        <v>170</v>
      </c>
      <c r="J13" s="377">
        <f t="shared" si="2"/>
        <v>0</v>
      </c>
      <c r="K13" s="380">
        <f t="shared" si="6"/>
        <v>0</v>
      </c>
      <c r="L13" s="510">
        <v>0</v>
      </c>
      <c r="M13" s="377">
        <f t="shared" si="7"/>
        <v>0</v>
      </c>
      <c r="N13" s="514">
        <f t="shared" si="8"/>
        <v>0</v>
      </c>
      <c r="O13" s="377">
        <f>'Egyéb (9)'!E21</f>
        <v>0</v>
      </c>
      <c r="P13" s="377">
        <f t="shared" si="3"/>
        <v>0</v>
      </c>
      <c r="Q13" s="381">
        <f t="shared" si="9"/>
        <v>0</v>
      </c>
      <c r="R13" s="377">
        <f t="shared" si="10"/>
        <v>170</v>
      </c>
      <c r="S13" s="382">
        <f t="shared" si="11"/>
        <v>0</v>
      </c>
      <c r="U13" s="388">
        <f>R13-'Egyéb (9)'!E15</f>
        <v>-49.599999999999937</v>
      </c>
      <c r="V13" s="377">
        <f t="shared" si="12"/>
        <v>0</v>
      </c>
      <c r="X13" s="377">
        <v>21</v>
      </c>
      <c r="Y13" s="420">
        <f t="shared" si="13"/>
        <v>3570</v>
      </c>
      <c r="AB13" s="419"/>
      <c r="AC13" s="465" t="s">
        <v>1940</v>
      </c>
      <c r="AD13" s="463">
        <v>28</v>
      </c>
      <c r="AE13" s="424" t="s">
        <v>1833</v>
      </c>
    </row>
    <row r="14" spans="1:31" x14ac:dyDescent="0.25">
      <c r="A14" s="391" t="s">
        <v>1787</v>
      </c>
      <c r="B14" s="393" t="s">
        <v>867</v>
      </c>
      <c r="C14" s="377">
        <f>'Anesthesiológia (10)'!E94</f>
        <v>49.6</v>
      </c>
      <c r="D14" s="377">
        <f t="shared" si="0"/>
        <v>0</v>
      </c>
      <c r="E14" s="378">
        <f t="shared" si="4"/>
        <v>0</v>
      </c>
      <c r="F14" s="377">
        <f>'Anesthesiológia (10)'!E95</f>
        <v>855.00000000000011</v>
      </c>
      <c r="G14" s="377">
        <f t="shared" si="1"/>
        <v>0</v>
      </c>
      <c r="H14" s="379">
        <f t="shared" si="5"/>
        <v>0</v>
      </c>
      <c r="I14" s="377">
        <f>'Anesthesiológia (10)'!E96</f>
        <v>342.17999999999995</v>
      </c>
      <c r="J14" s="377">
        <f t="shared" si="2"/>
        <v>0</v>
      </c>
      <c r="K14" s="380">
        <f t="shared" si="6"/>
        <v>0</v>
      </c>
      <c r="L14" s="510">
        <v>0</v>
      </c>
      <c r="M14" s="377">
        <f t="shared" si="7"/>
        <v>0</v>
      </c>
      <c r="N14" s="514">
        <f t="shared" si="8"/>
        <v>0</v>
      </c>
      <c r="O14" s="377">
        <f>'Anesthesiológia (10)'!E97</f>
        <v>0</v>
      </c>
      <c r="P14" s="377">
        <f t="shared" si="3"/>
        <v>0</v>
      </c>
      <c r="Q14" s="381">
        <f t="shared" si="9"/>
        <v>0</v>
      </c>
      <c r="R14" s="377">
        <f t="shared" si="10"/>
        <v>1246.7800000000002</v>
      </c>
      <c r="S14" s="382">
        <f t="shared" si="11"/>
        <v>0</v>
      </c>
      <c r="U14" s="388">
        <f>R14-'Anesthesiológia (10)'!E91</f>
        <v>0</v>
      </c>
      <c r="V14" s="377">
        <f t="shared" si="12"/>
        <v>0</v>
      </c>
      <c r="X14" s="377">
        <v>30.42</v>
      </c>
      <c r="Y14" s="420">
        <f t="shared" si="13"/>
        <v>37927.047600000005</v>
      </c>
      <c r="Z14" s="370">
        <f>R14</f>
        <v>1246.7800000000002</v>
      </c>
      <c r="AB14" s="419"/>
      <c r="AC14" s="465" t="s">
        <v>1941</v>
      </c>
      <c r="AD14" s="463">
        <v>31</v>
      </c>
      <c r="AE14" s="424" t="s">
        <v>1833</v>
      </c>
    </row>
    <row r="15" spans="1:31" x14ac:dyDescent="0.25">
      <c r="A15" s="391" t="s">
        <v>1788</v>
      </c>
      <c r="B15" s="393" t="s">
        <v>868</v>
      </c>
      <c r="C15" s="377">
        <f>'Közp. labor (11)'!E100</f>
        <v>1032.9100000000001</v>
      </c>
      <c r="D15" s="377">
        <f t="shared" si="0"/>
        <v>0</v>
      </c>
      <c r="E15" s="378">
        <f t="shared" si="4"/>
        <v>0</v>
      </c>
      <c r="F15" s="377">
        <f>'Közp. labor (11)'!E101</f>
        <v>0</v>
      </c>
      <c r="G15" s="377">
        <f t="shared" si="1"/>
        <v>0</v>
      </c>
      <c r="H15" s="379">
        <f t="shared" si="5"/>
        <v>0</v>
      </c>
      <c r="I15" s="377">
        <f>'Közp. labor (11)'!E102</f>
        <v>232.59999999999991</v>
      </c>
      <c r="J15" s="377">
        <f t="shared" si="2"/>
        <v>0</v>
      </c>
      <c r="K15" s="380">
        <f t="shared" si="6"/>
        <v>0</v>
      </c>
      <c r="L15" s="510">
        <v>0</v>
      </c>
      <c r="M15" s="377">
        <f t="shared" si="7"/>
        <v>0</v>
      </c>
      <c r="N15" s="514">
        <f t="shared" si="8"/>
        <v>0</v>
      </c>
      <c r="O15" s="377">
        <f>'Közp. labor (11)'!E103</f>
        <v>0</v>
      </c>
      <c r="P15" s="377">
        <f t="shared" si="3"/>
        <v>0</v>
      </c>
      <c r="Q15" s="381">
        <f t="shared" si="9"/>
        <v>0</v>
      </c>
      <c r="R15" s="377">
        <f t="shared" si="10"/>
        <v>1265.51</v>
      </c>
      <c r="S15" s="382">
        <f t="shared" si="11"/>
        <v>0</v>
      </c>
      <c r="U15" s="388">
        <f>R15-'Közp. labor (11)'!E97</f>
        <v>0</v>
      </c>
      <c r="V15" s="377">
        <f t="shared" si="12"/>
        <v>0</v>
      </c>
      <c r="X15" s="377">
        <v>30.42</v>
      </c>
      <c r="Y15" s="420">
        <f t="shared" si="13"/>
        <v>38496.814200000001</v>
      </c>
      <c r="Z15" s="370">
        <f>R15</f>
        <v>1265.51</v>
      </c>
      <c r="AB15" s="419"/>
      <c r="AC15" s="465" t="s">
        <v>1942</v>
      </c>
      <c r="AD15" s="463">
        <v>30</v>
      </c>
      <c r="AE15" s="424" t="s">
        <v>1833</v>
      </c>
    </row>
    <row r="16" spans="1:31" x14ac:dyDescent="0.25">
      <c r="A16" s="391" t="s">
        <v>1789</v>
      </c>
      <c r="B16" s="393" t="s">
        <v>999</v>
      </c>
      <c r="C16" s="377">
        <f>'Vérdepo (12)'!E11</f>
        <v>35.200000000000003</v>
      </c>
      <c r="D16" s="377">
        <f t="shared" si="0"/>
        <v>0</v>
      </c>
      <c r="E16" s="378">
        <f t="shared" si="4"/>
        <v>0</v>
      </c>
      <c r="F16" s="377">
        <f>'Vérdepo (12)'!E12</f>
        <v>0</v>
      </c>
      <c r="G16" s="377">
        <f t="shared" si="1"/>
        <v>0</v>
      </c>
      <c r="H16" s="379">
        <f t="shared" si="5"/>
        <v>0</v>
      </c>
      <c r="I16" s="377">
        <f>'Vérdepo (12)'!E13</f>
        <v>0</v>
      </c>
      <c r="J16" s="377">
        <f t="shared" si="2"/>
        <v>0</v>
      </c>
      <c r="K16" s="380">
        <f t="shared" si="6"/>
        <v>0</v>
      </c>
      <c r="L16" s="510">
        <v>0</v>
      </c>
      <c r="M16" s="377">
        <f t="shared" si="7"/>
        <v>0</v>
      </c>
      <c r="N16" s="514">
        <f t="shared" si="8"/>
        <v>0</v>
      </c>
      <c r="O16" s="377">
        <f>'Vérdepo (12)'!E14</f>
        <v>0</v>
      </c>
      <c r="P16" s="377">
        <f t="shared" si="3"/>
        <v>0</v>
      </c>
      <c r="Q16" s="381">
        <f t="shared" si="9"/>
        <v>0</v>
      </c>
      <c r="R16" s="377">
        <f t="shared" si="10"/>
        <v>35.200000000000003</v>
      </c>
      <c r="S16" s="382">
        <f t="shared" si="11"/>
        <v>0</v>
      </c>
      <c r="U16" s="388">
        <f>R16-'Vérdepo (12)'!E7</f>
        <v>0</v>
      </c>
      <c r="V16" s="377">
        <f t="shared" si="12"/>
        <v>0</v>
      </c>
      <c r="X16" s="377">
        <v>30.42</v>
      </c>
      <c r="Y16" s="420">
        <f t="shared" si="13"/>
        <v>1070.7840000000001</v>
      </c>
      <c r="Z16" s="370">
        <f>R16</f>
        <v>35.200000000000003</v>
      </c>
      <c r="AB16" s="419"/>
      <c r="AC16" s="465" t="s">
        <v>1943</v>
      </c>
      <c r="AD16" s="463">
        <v>31</v>
      </c>
      <c r="AE16" s="424" t="s">
        <v>1833</v>
      </c>
    </row>
    <row r="17" spans="1:32" x14ac:dyDescent="0.25">
      <c r="A17" s="391" t="s">
        <v>1790</v>
      </c>
      <c r="B17" s="393" t="s">
        <v>1212</v>
      </c>
      <c r="C17" s="377">
        <v>0</v>
      </c>
      <c r="D17" s="377">
        <f t="shared" si="0"/>
        <v>0</v>
      </c>
      <c r="E17" s="378">
        <f t="shared" si="4"/>
        <v>0</v>
      </c>
      <c r="F17" s="377">
        <f>'Traumatológia (13)'!E213</f>
        <v>0</v>
      </c>
      <c r="G17" s="377">
        <f t="shared" si="1"/>
        <v>0</v>
      </c>
      <c r="H17" s="379">
        <f t="shared" si="5"/>
        <v>0</v>
      </c>
      <c r="I17" s="377">
        <v>0</v>
      </c>
      <c r="J17" s="377">
        <f t="shared" si="2"/>
        <v>0</v>
      </c>
      <c r="K17" s="380">
        <f t="shared" si="6"/>
        <v>0</v>
      </c>
      <c r="L17" s="510">
        <f>'Traumatológia (13)'!E216</f>
        <v>2663.4599999999996</v>
      </c>
      <c r="M17" s="377">
        <f t="shared" si="7"/>
        <v>0</v>
      </c>
      <c r="N17" s="514">
        <f t="shared" si="8"/>
        <v>0</v>
      </c>
      <c r="O17" s="377">
        <f>'Traumatológia (13)'!E215</f>
        <v>0</v>
      </c>
      <c r="P17" s="377">
        <f t="shared" si="3"/>
        <v>0</v>
      </c>
      <c r="Q17" s="381">
        <f t="shared" si="9"/>
        <v>0</v>
      </c>
      <c r="R17" s="377">
        <f t="shared" si="10"/>
        <v>2663.4599999999996</v>
      </c>
      <c r="S17" s="382">
        <f t="shared" si="11"/>
        <v>0</v>
      </c>
      <c r="U17" s="388">
        <f>R17-'Traumatológia (13)'!E209</f>
        <v>0</v>
      </c>
      <c r="V17" s="377">
        <f t="shared" si="12"/>
        <v>0</v>
      </c>
      <c r="X17" s="377">
        <v>30.42</v>
      </c>
      <c r="Y17" s="420">
        <f t="shared" si="13"/>
        <v>81022.453199999989</v>
      </c>
      <c r="Z17" s="370">
        <f>R17</f>
        <v>2663.4599999999996</v>
      </c>
      <c r="AB17" s="419"/>
      <c r="AC17" s="465" t="s">
        <v>1944</v>
      </c>
      <c r="AD17" s="463">
        <v>30</v>
      </c>
      <c r="AE17" s="424" t="s">
        <v>1833</v>
      </c>
    </row>
    <row r="18" spans="1:32" x14ac:dyDescent="0.25">
      <c r="A18" s="391" t="s">
        <v>1791</v>
      </c>
      <c r="B18" s="393" t="s">
        <v>1262</v>
      </c>
      <c r="C18" s="377">
        <f>'Trauma intenzív (14)'!E54</f>
        <v>0</v>
      </c>
      <c r="D18" s="377">
        <f t="shared" si="0"/>
        <v>0</v>
      </c>
      <c r="E18" s="378">
        <f t="shared" si="4"/>
        <v>0</v>
      </c>
      <c r="F18" s="377">
        <v>0</v>
      </c>
      <c r="G18" s="377">
        <f t="shared" si="1"/>
        <v>0</v>
      </c>
      <c r="H18" s="379">
        <f t="shared" si="5"/>
        <v>0</v>
      </c>
      <c r="I18" s="377">
        <v>0</v>
      </c>
      <c r="J18" s="377">
        <f t="shared" si="2"/>
        <v>0</v>
      </c>
      <c r="K18" s="380">
        <f t="shared" si="6"/>
        <v>0</v>
      </c>
      <c r="L18" s="510">
        <f>'Trauma intenzív (14)'!E58</f>
        <v>633.39999999999986</v>
      </c>
      <c r="M18" s="377">
        <f t="shared" si="7"/>
        <v>0</v>
      </c>
      <c r="N18" s="514">
        <f t="shared" si="8"/>
        <v>0</v>
      </c>
      <c r="O18" s="377">
        <f>'Trauma intenzív (14)'!E57</f>
        <v>0</v>
      </c>
      <c r="P18" s="377">
        <f t="shared" si="3"/>
        <v>0</v>
      </c>
      <c r="Q18" s="381">
        <f t="shared" si="9"/>
        <v>0</v>
      </c>
      <c r="R18" s="377">
        <f t="shared" si="10"/>
        <v>633.39999999999986</v>
      </c>
      <c r="S18" s="382">
        <f t="shared" si="11"/>
        <v>0</v>
      </c>
      <c r="U18" s="388">
        <f>R18-'Trauma intenzív (14)'!E51</f>
        <v>0</v>
      </c>
      <c r="V18" s="377">
        <f t="shared" si="12"/>
        <v>0</v>
      </c>
      <c r="X18" s="377">
        <v>30.42</v>
      </c>
      <c r="Y18" s="420">
        <f t="shared" si="13"/>
        <v>19268.027999999998</v>
      </c>
      <c r="Z18" s="370">
        <f>R18</f>
        <v>633.39999999999986</v>
      </c>
      <c r="AB18" s="419"/>
      <c r="AC18" s="465" t="s">
        <v>1945</v>
      </c>
      <c r="AD18" s="463">
        <v>31</v>
      </c>
      <c r="AE18" s="424" t="s">
        <v>1833</v>
      </c>
    </row>
    <row r="19" spans="1:32" x14ac:dyDescent="0.25">
      <c r="A19" s="391" t="s">
        <v>1792</v>
      </c>
      <c r="B19" s="393" t="s">
        <v>1819</v>
      </c>
      <c r="C19" s="377">
        <f>'KKT GÜI (15)'!E35</f>
        <v>1.8</v>
      </c>
      <c r="D19" s="377">
        <f t="shared" si="0"/>
        <v>0</v>
      </c>
      <c r="E19" s="378">
        <f t="shared" si="4"/>
        <v>0</v>
      </c>
      <c r="F19" s="377">
        <f>'KKT GÜI (15)'!E36</f>
        <v>0</v>
      </c>
      <c r="G19" s="377">
        <f t="shared" si="1"/>
        <v>0</v>
      </c>
      <c r="H19" s="379">
        <f t="shared" si="5"/>
        <v>0</v>
      </c>
      <c r="I19" s="377">
        <f>'KKT GÜI (15)'!E37</f>
        <v>342.9</v>
      </c>
      <c r="J19" s="377">
        <f t="shared" si="2"/>
        <v>0</v>
      </c>
      <c r="K19" s="380">
        <f t="shared" si="6"/>
        <v>0</v>
      </c>
      <c r="L19" s="510">
        <v>0</v>
      </c>
      <c r="M19" s="377">
        <f t="shared" si="7"/>
        <v>0</v>
      </c>
      <c r="N19" s="514">
        <f t="shared" si="8"/>
        <v>0</v>
      </c>
      <c r="O19" s="377">
        <f>'KKT GÜI (15)'!E38</f>
        <v>0</v>
      </c>
      <c r="P19" s="377">
        <f t="shared" si="3"/>
        <v>0</v>
      </c>
      <c r="Q19" s="381">
        <f t="shared" si="9"/>
        <v>0</v>
      </c>
      <c r="R19" s="377">
        <f t="shared" si="10"/>
        <v>344.7</v>
      </c>
      <c r="S19" s="382">
        <f t="shared" si="11"/>
        <v>0</v>
      </c>
      <c r="U19" s="388">
        <f>R19-'KKT GÜI (15)'!E32</f>
        <v>0</v>
      </c>
      <c r="V19" s="377">
        <f t="shared" si="12"/>
        <v>0</v>
      </c>
      <c r="X19" s="377">
        <v>21</v>
      </c>
      <c r="Y19" s="420">
        <f t="shared" si="13"/>
        <v>7238.7</v>
      </c>
      <c r="AB19" s="419"/>
      <c r="AC19" s="465" t="s">
        <v>1946</v>
      </c>
      <c r="AD19" s="463">
        <v>31</v>
      </c>
      <c r="AE19" s="424" t="s">
        <v>1833</v>
      </c>
    </row>
    <row r="20" spans="1:32" x14ac:dyDescent="0.25">
      <c r="A20" s="391" t="s">
        <v>1793</v>
      </c>
      <c r="B20" s="393" t="s">
        <v>1437</v>
      </c>
      <c r="C20" s="377">
        <f>'Központi műtők (16)'!E138</f>
        <v>0</v>
      </c>
      <c r="D20" s="377">
        <f t="shared" si="0"/>
        <v>0</v>
      </c>
      <c r="E20" s="378">
        <f t="shared" si="4"/>
        <v>0</v>
      </c>
      <c r="F20" s="377">
        <f>'Központi műtők (16)'!E139/2</f>
        <v>1181.8499999999992</v>
      </c>
      <c r="G20" s="377">
        <f t="shared" si="1"/>
        <v>0</v>
      </c>
      <c r="H20" s="379">
        <f t="shared" si="5"/>
        <v>0</v>
      </c>
      <c r="I20" s="377">
        <f>'Központi műtők (16)'!E140</f>
        <v>0</v>
      </c>
      <c r="J20" s="377">
        <f t="shared" si="2"/>
        <v>0</v>
      </c>
      <c r="K20" s="380">
        <f t="shared" si="6"/>
        <v>0</v>
      </c>
      <c r="L20" s="510">
        <f>F20</f>
        <v>1181.8499999999992</v>
      </c>
      <c r="M20" s="377">
        <f t="shared" si="7"/>
        <v>0</v>
      </c>
      <c r="N20" s="514">
        <f t="shared" si="8"/>
        <v>0</v>
      </c>
      <c r="O20" s="377">
        <f>'Központi műtők (16)'!E141</f>
        <v>0</v>
      </c>
      <c r="P20" s="377">
        <f t="shared" si="3"/>
        <v>0</v>
      </c>
      <c r="Q20" s="381">
        <f t="shared" si="9"/>
        <v>0</v>
      </c>
      <c r="R20" s="377">
        <f t="shared" si="10"/>
        <v>2363.6999999999985</v>
      </c>
      <c r="S20" s="382">
        <f t="shared" si="11"/>
        <v>0</v>
      </c>
      <c r="U20" s="388">
        <f>R20-'Központi műtők (16)'!E135</f>
        <v>0</v>
      </c>
      <c r="V20" s="377">
        <f t="shared" si="12"/>
        <v>0</v>
      </c>
      <c r="X20" s="377">
        <v>30.42</v>
      </c>
      <c r="Y20" s="420">
        <f t="shared" si="13"/>
        <v>71903.753999999957</v>
      </c>
      <c r="Z20" s="370">
        <f>R20</f>
        <v>2363.6999999999985</v>
      </c>
      <c r="AB20" s="419"/>
      <c r="AC20" s="465" t="s">
        <v>1950</v>
      </c>
      <c r="AD20" s="463">
        <v>30</v>
      </c>
      <c r="AE20" s="424" t="s">
        <v>1833</v>
      </c>
    </row>
    <row r="21" spans="1:32" x14ac:dyDescent="0.25">
      <c r="A21" s="391" t="s">
        <v>1794</v>
      </c>
      <c r="B21" s="393" t="s">
        <v>126</v>
      </c>
      <c r="C21" s="377">
        <f>'Női klinika (17)'!E141</f>
        <v>1495.93</v>
      </c>
      <c r="D21" s="377">
        <f t="shared" si="0"/>
        <v>0</v>
      </c>
      <c r="E21" s="378">
        <f t="shared" si="4"/>
        <v>0</v>
      </c>
      <c r="F21" s="377">
        <f>'Női klinika (17)'!E142</f>
        <v>1.2</v>
      </c>
      <c r="G21" s="377">
        <f t="shared" si="1"/>
        <v>0</v>
      </c>
      <c r="H21" s="379">
        <f t="shared" si="5"/>
        <v>0</v>
      </c>
      <c r="I21" s="377">
        <f>'Női klinika (17)'!E143</f>
        <v>1128.4050000000002</v>
      </c>
      <c r="J21" s="377">
        <f t="shared" si="2"/>
        <v>0</v>
      </c>
      <c r="K21" s="380">
        <f t="shared" si="6"/>
        <v>0</v>
      </c>
      <c r="L21" s="510">
        <v>0</v>
      </c>
      <c r="M21" s="377">
        <f t="shared" si="7"/>
        <v>0</v>
      </c>
      <c r="N21" s="514">
        <f t="shared" si="8"/>
        <v>0</v>
      </c>
      <c r="O21" s="377">
        <f>'Női klinika (17)'!E144</f>
        <v>0</v>
      </c>
      <c r="P21" s="377">
        <f t="shared" si="3"/>
        <v>0</v>
      </c>
      <c r="Q21" s="381">
        <f t="shared" si="9"/>
        <v>0</v>
      </c>
      <c r="R21" s="377">
        <f t="shared" si="10"/>
        <v>2625.5350000000003</v>
      </c>
      <c r="S21" s="382">
        <f t="shared" si="11"/>
        <v>0</v>
      </c>
      <c r="U21" s="388">
        <f>R21-'Női klinika (17)'!E138</f>
        <v>0</v>
      </c>
      <c r="V21" s="377">
        <f t="shared" si="12"/>
        <v>0</v>
      </c>
      <c r="X21" s="377">
        <v>30.42</v>
      </c>
      <c r="Y21" s="420">
        <f t="shared" si="13"/>
        <v>79868.774700000009</v>
      </c>
      <c r="Z21" s="370">
        <f>R21</f>
        <v>2625.5350000000003</v>
      </c>
      <c r="AB21" s="419"/>
      <c r="AC21" s="465" t="s">
        <v>1947</v>
      </c>
      <c r="AD21" s="463">
        <v>31</v>
      </c>
      <c r="AE21" s="424" t="s">
        <v>1833</v>
      </c>
    </row>
    <row r="22" spans="1:32" x14ac:dyDescent="0.25">
      <c r="A22" s="602" t="s">
        <v>1822</v>
      </c>
      <c r="B22" s="603"/>
      <c r="C22" s="383">
        <f>SUM(C7:C21)</f>
        <v>4917.1100000000006</v>
      </c>
      <c r="D22" s="383">
        <f t="shared" si="0"/>
        <v>0</v>
      </c>
      <c r="E22" s="372">
        <f>SUM(E7:E21)</f>
        <v>0</v>
      </c>
      <c r="F22" s="384">
        <f>SUM(F7:F21)</f>
        <v>3743.4499999999989</v>
      </c>
      <c r="G22" s="384">
        <f t="shared" si="1"/>
        <v>0</v>
      </c>
      <c r="H22" s="373">
        <f>SUM(H7:H21)</f>
        <v>0</v>
      </c>
      <c r="I22" s="385">
        <f>SUM(I7:I21)</f>
        <v>2940.585</v>
      </c>
      <c r="J22" s="385">
        <f t="shared" si="2"/>
        <v>0</v>
      </c>
      <c r="K22" s="374">
        <f>SUM(K7:K21)</f>
        <v>0</v>
      </c>
      <c r="L22" s="512">
        <f>SUM(L7:L21)</f>
        <v>4478.7099999999991</v>
      </c>
      <c r="M22" s="512">
        <f t="shared" si="7"/>
        <v>0</v>
      </c>
      <c r="N22" s="513">
        <f>SUM(N7:N21)</f>
        <v>0</v>
      </c>
      <c r="O22" s="386">
        <f>SUM(O7:O21)</f>
        <v>123.71000000000001</v>
      </c>
      <c r="P22" s="386">
        <f t="shared" si="3"/>
        <v>0</v>
      </c>
      <c r="Q22" s="375">
        <f>SUM(Q7:Q21)</f>
        <v>0</v>
      </c>
      <c r="R22" s="387">
        <f>SUM(R7:R21)</f>
        <v>16203.565000000001</v>
      </c>
      <c r="S22" s="376">
        <f>SUM(S7:S21)</f>
        <v>0</v>
      </c>
      <c r="V22" s="387">
        <f>S22/R22/X22</f>
        <v>0</v>
      </c>
      <c r="X22" s="377">
        <f>SUM(Y7:Y21)/R22</f>
        <v>28.388122842102955</v>
      </c>
      <c r="Y22" s="420"/>
      <c r="AB22" s="419"/>
      <c r="AC22" s="465" t="s">
        <v>1948</v>
      </c>
      <c r="AD22" s="463">
        <v>30</v>
      </c>
      <c r="AE22" s="424" t="s">
        <v>1833</v>
      </c>
    </row>
    <row r="23" spans="1:32" x14ac:dyDescent="0.25">
      <c r="A23" s="604" t="s">
        <v>1806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05"/>
      <c r="S23" s="606"/>
      <c r="V23" s="377"/>
      <c r="X23" s="463"/>
      <c r="Y23" s="420"/>
      <c r="AB23" s="419"/>
      <c r="AC23" s="465" t="s">
        <v>1949</v>
      </c>
      <c r="AD23" s="463">
        <v>31</v>
      </c>
      <c r="AE23" s="424" t="s">
        <v>1833</v>
      </c>
    </row>
    <row r="24" spans="1:32" x14ac:dyDescent="0.25">
      <c r="A24" s="391" t="s">
        <v>1795</v>
      </c>
      <c r="B24" s="394" t="s">
        <v>1804</v>
      </c>
      <c r="C24" s="377">
        <f>'K-Közlekedő (18)'!E102</f>
        <v>53.900000000000006</v>
      </c>
      <c r="D24" s="377">
        <f t="shared" ref="D24:D33" si="14">$D$38</f>
        <v>0</v>
      </c>
      <c r="E24" s="378">
        <f t="shared" ref="E24:E32" si="15">C24*D24*X24</f>
        <v>0</v>
      </c>
      <c r="F24" s="377">
        <f>'K-Közlekedő (18)'!E103</f>
        <v>0</v>
      </c>
      <c r="G24" s="377">
        <f t="shared" ref="G24:G33" si="16">$D$39</f>
        <v>0</v>
      </c>
      <c r="H24" s="379">
        <f t="shared" ref="H24:H32" si="17">F24*G24*X24</f>
        <v>0</v>
      </c>
      <c r="I24" s="377">
        <f>'K-Közlekedő (18)'!E104</f>
        <v>3474.9300000000003</v>
      </c>
      <c r="J24" s="377">
        <f t="shared" ref="J24:J33" si="18">$D$40</f>
        <v>0</v>
      </c>
      <c r="K24" s="380">
        <f t="shared" ref="K24:K32" si="19">I24*J24*X24</f>
        <v>0</v>
      </c>
      <c r="L24" s="510">
        <v>0</v>
      </c>
      <c r="M24" s="377">
        <f t="shared" si="7"/>
        <v>0</v>
      </c>
      <c r="N24" s="514">
        <f t="shared" ref="N24:N32" si="20">L24*M24*X24</f>
        <v>0</v>
      </c>
      <c r="O24" s="377">
        <f>'K-Közlekedő (18)'!E105</f>
        <v>118.4</v>
      </c>
      <c r="P24" s="377">
        <f t="shared" ref="P24:P33" si="21">$D$42</f>
        <v>0</v>
      </c>
      <c r="Q24" s="381">
        <f t="shared" ref="Q24:Q32" si="22">O24*P24*X24</f>
        <v>0</v>
      </c>
      <c r="R24" s="377">
        <f t="shared" ref="R24:R32" si="23">C24+F24+I24+O24</f>
        <v>3647.2300000000005</v>
      </c>
      <c r="S24" s="382">
        <f t="shared" ref="S24:S32" si="24">E24+H24+K24+N24+Q24</f>
        <v>0</v>
      </c>
      <c r="U24" s="388">
        <f>R24-'K-Közlekedő (18)'!E99</f>
        <v>0</v>
      </c>
      <c r="V24" s="377">
        <f>S24/R24/X24</f>
        <v>0</v>
      </c>
      <c r="X24" s="377">
        <v>30.42</v>
      </c>
      <c r="Y24" s="420">
        <f t="shared" ref="Y24:Y32" si="25">X24*R24</f>
        <v>110948.73660000002</v>
      </c>
      <c r="Z24" s="370">
        <f>R24</f>
        <v>3647.2300000000005</v>
      </c>
      <c r="AB24" s="421" t="s">
        <v>1951</v>
      </c>
      <c r="AC24" s="485"/>
      <c r="AD24" s="488">
        <f>SUM(AD12:AD23)/12</f>
        <v>30.416666666666668</v>
      </c>
      <c r="AE24" s="422" t="s">
        <v>1833</v>
      </c>
    </row>
    <row r="25" spans="1:32" x14ac:dyDescent="0.25">
      <c r="A25" s="391" t="s">
        <v>1796</v>
      </c>
      <c r="B25" s="394" t="s">
        <v>1811</v>
      </c>
      <c r="C25" s="377">
        <f>'K-Raktár (19)'!E35</f>
        <v>104.1</v>
      </c>
      <c r="D25" s="377">
        <f t="shared" si="14"/>
        <v>0</v>
      </c>
      <c r="E25" s="378">
        <f t="shared" si="15"/>
        <v>0</v>
      </c>
      <c r="F25" s="377">
        <v>0</v>
      </c>
      <c r="G25" s="377">
        <f t="shared" si="16"/>
        <v>0</v>
      </c>
      <c r="H25" s="379">
        <f t="shared" si="17"/>
        <v>0</v>
      </c>
      <c r="I25" s="377">
        <f>'K-Raktár (19)'!E37</f>
        <v>56.5</v>
      </c>
      <c r="J25" s="377">
        <f t="shared" si="18"/>
        <v>0</v>
      </c>
      <c r="K25" s="380">
        <f t="shared" si="19"/>
        <v>0</v>
      </c>
      <c r="L25" s="510">
        <v>0</v>
      </c>
      <c r="M25" s="377">
        <f t="shared" si="7"/>
        <v>0</v>
      </c>
      <c r="N25" s="514">
        <f t="shared" si="20"/>
        <v>0</v>
      </c>
      <c r="O25" s="377">
        <f>'K-Raktár (19)'!E38</f>
        <v>230.7</v>
      </c>
      <c r="P25" s="377">
        <f t="shared" si="21"/>
        <v>0</v>
      </c>
      <c r="Q25" s="381">
        <f t="shared" si="22"/>
        <v>0</v>
      </c>
      <c r="R25" s="377">
        <f t="shared" si="23"/>
        <v>391.29999999999995</v>
      </c>
      <c r="S25" s="382">
        <f t="shared" si="24"/>
        <v>0</v>
      </c>
      <c r="U25" s="388">
        <f>R25-'K-Raktár (19)'!E32</f>
        <v>0</v>
      </c>
      <c r="V25" s="377">
        <f t="shared" ref="V25:V32" si="26">S25/R25/X25</f>
        <v>0</v>
      </c>
      <c r="X25" s="377">
        <v>30.42</v>
      </c>
      <c r="Y25" s="420">
        <f t="shared" si="25"/>
        <v>11903.346</v>
      </c>
      <c r="Z25" s="370">
        <f>R25</f>
        <v>391.29999999999995</v>
      </c>
      <c r="AB25" s="428" t="s">
        <v>1953</v>
      </c>
      <c r="AC25" s="425"/>
      <c r="AD25" s="487">
        <v>256</v>
      </c>
      <c r="AE25" s="423" t="s">
        <v>1833</v>
      </c>
    </row>
    <row r="26" spans="1:32" x14ac:dyDescent="0.25">
      <c r="A26" s="391" t="s">
        <v>1797</v>
      </c>
      <c r="B26" s="394" t="s">
        <v>1812</v>
      </c>
      <c r="C26" s="377">
        <f>'K-Gépészet (20)'!E31</f>
        <v>0</v>
      </c>
      <c r="D26" s="377">
        <f t="shared" si="14"/>
        <v>0</v>
      </c>
      <c r="E26" s="378">
        <f t="shared" si="15"/>
        <v>0</v>
      </c>
      <c r="F26" s="377">
        <f>'K-Gépészet (20)'!E32</f>
        <v>0</v>
      </c>
      <c r="G26" s="377">
        <f t="shared" si="16"/>
        <v>0</v>
      </c>
      <c r="H26" s="379">
        <f t="shared" si="17"/>
        <v>0</v>
      </c>
      <c r="I26" s="377">
        <f>'K-Gépészet (20)'!E33</f>
        <v>0</v>
      </c>
      <c r="J26" s="377">
        <f t="shared" si="18"/>
        <v>0</v>
      </c>
      <c r="K26" s="380">
        <f t="shared" si="19"/>
        <v>0</v>
      </c>
      <c r="L26" s="510">
        <v>0</v>
      </c>
      <c r="M26" s="377">
        <f t="shared" si="7"/>
        <v>0</v>
      </c>
      <c r="N26" s="514">
        <f t="shared" si="20"/>
        <v>0</v>
      </c>
      <c r="O26" s="377">
        <f>'K-Gépészet (20)'!E34</f>
        <v>1408</v>
      </c>
      <c r="P26" s="377">
        <f t="shared" si="21"/>
        <v>0</v>
      </c>
      <c r="Q26" s="381">
        <f t="shared" si="22"/>
        <v>0</v>
      </c>
      <c r="R26" s="377">
        <f t="shared" si="23"/>
        <v>1408</v>
      </c>
      <c r="S26" s="382">
        <f t="shared" si="24"/>
        <v>0</v>
      </c>
      <c r="U26" s="388">
        <f>R26-'K-Gépészet (20)'!E28</f>
        <v>0</v>
      </c>
      <c r="V26" s="377">
        <f t="shared" si="26"/>
        <v>0</v>
      </c>
      <c r="X26" s="377">
        <v>1</v>
      </c>
      <c r="Y26" s="420">
        <f t="shared" si="25"/>
        <v>1408</v>
      </c>
      <c r="AB26" s="419" t="s">
        <v>1952</v>
      </c>
      <c r="AC26" s="426"/>
      <c r="AD26" s="463">
        <v>5</v>
      </c>
      <c r="AE26" s="424" t="s">
        <v>1833</v>
      </c>
    </row>
    <row r="27" spans="1:32" x14ac:dyDescent="0.25">
      <c r="A27" s="391" t="s">
        <v>1798</v>
      </c>
      <c r="B27" s="394" t="s">
        <v>1813</v>
      </c>
      <c r="C27" s="377">
        <f>'K-Öltözők (21)'!E53</f>
        <v>0</v>
      </c>
      <c r="D27" s="377">
        <f t="shared" si="14"/>
        <v>0</v>
      </c>
      <c r="E27" s="378">
        <f t="shared" si="15"/>
        <v>0</v>
      </c>
      <c r="F27" s="377">
        <f>'K-Öltözők (21)'!E54</f>
        <v>0</v>
      </c>
      <c r="G27" s="377">
        <f t="shared" si="16"/>
        <v>0</v>
      </c>
      <c r="H27" s="379">
        <f t="shared" si="17"/>
        <v>0</v>
      </c>
      <c r="I27" s="377">
        <f>'K-Öltözők (21)'!E55</f>
        <v>361.9</v>
      </c>
      <c r="J27" s="377">
        <f t="shared" si="18"/>
        <v>0</v>
      </c>
      <c r="K27" s="380">
        <f t="shared" si="19"/>
        <v>0</v>
      </c>
      <c r="L27" s="510">
        <v>0</v>
      </c>
      <c r="M27" s="377">
        <f t="shared" si="7"/>
        <v>0</v>
      </c>
      <c r="N27" s="514">
        <f t="shared" si="20"/>
        <v>0</v>
      </c>
      <c r="O27" s="377">
        <f>'K-Öltözők (21)'!E56</f>
        <v>0</v>
      </c>
      <c r="P27" s="377">
        <f t="shared" si="21"/>
        <v>0</v>
      </c>
      <c r="Q27" s="381">
        <f t="shared" si="22"/>
        <v>0</v>
      </c>
      <c r="R27" s="377">
        <f t="shared" si="23"/>
        <v>361.9</v>
      </c>
      <c r="S27" s="382">
        <f t="shared" si="24"/>
        <v>0</v>
      </c>
      <c r="U27" s="388">
        <f>R27-'K-Öltözők (21)'!E50</f>
        <v>0</v>
      </c>
      <c r="V27" s="377">
        <f t="shared" si="26"/>
        <v>0</v>
      </c>
      <c r="X27" s="377">
        <v>30.42</v>
      </c>
      <c r="Y27" s="420">
        <f t="shared" si="25"/>
        <v>11008.998</v>
      </c>
      <c r="Z27" s="370">
        <f>R27</f>
        <v>361.9</v>
      </c>
      <c r="AB27" s="421" t="s">
        <v>1954</v>
      </c>
      <c r="AC27" s="427"/>
      <c r="AD27" s="488">
        <f>(AD25-AD26)/12</f>
        <v>20.916666666666668</v>
      </c>
      <c r="AE27" s="422" t="s">
        <v>1833</v>
      </c>
      <c r="AF27" s="370">
        <v>21</v>
      </c>
    </row>
    <row r="28" spans="1:32" x14ac:dyDescent="0.25">
      <c r="A28" s="391" t="s">
        <v>1799</v>
      </c>
      <c r="B28" s="394" t="s">
        <v>1814</v>
      </c>
      <c r="C28" s="377">
        <f>'K-Takarítás (22)'!E17</f>
        <v>0</v>
      </c>
      <c r="D28" s="377">
        <f t="shared" si="14"/>
        <v>0</v>
      </c>
      <c r="E28" s="378">
        <f t="shared" si="15"/>
        <v>0</v>
      </c>
      <c r="F28" s="377">
        <f>'K-Takarítás (22)'!E18</f>
        <v>0</v>
      </c>
      <c r="G28" s="377">
        <f t="shared" si="16"/>
        <v>0</v>
      </c>
      <c r="H28" s="379">
        <f t="shared" si="17"/>
        <v>0</v>
      </c>
      <c r="I28" s="377">
        <f>'K-Takarítás (22)'!E19</f>
        <v>0</v>
      </c>
      <c r="J28" s="377">
        <f t="shared" si="18"/>
        <v>0</v>
      </c>
      <c r="K28" s="380">
        <f t="shared" si="19"/>
        <v>0</v>
      </c>
      <c r="L28" s="510">
        <v>0</v>
      </c>
      <c r="M28" s="377">
        <f t="shared" si="7"/>
        <v>0</v>
      </c>
      <c r="N28" s="514">
        <f t="shared" si="20"/>
        <v>0</v>
      </c>
      <c r="O28" s="377">
        <f>'K-Takarítás (22)'!E20</f>
        <v>0</v>
      </c>
      <c r="P28" s="377">
        <f t="shared" si="21"/>
        <v>0</v>
      </c>
      <c r="Q28" s="381">
        <f t="shared" si="22"/>
        <v>0</v>
      </c>
      <c r="R28" s="377">
        <f t="shared" si="23"/>
        <v>0</v>
      </c>
      <c r="S28" s="382">
        <f t="shared" si="24"/>
        <v>0</v>
      </c>
      <c r="U28" s="388">
        <f>R28-'K-Takarítás (22)'!E14</f>
        <v>-34.4</v>
      </c>
      <c r="V28" s="377"/>
      <c r="X28" s="377">
        <v>30.42</v>
      </c>
      <c r="Y28" s="420">
        <f t="shared" si="25"/>
        <v>0</v>
      </c>
      <c r="Z28" s="370">
        <f>R28</f>
        <v>0</v>
      </c>
    </row>
    <row r="29" spans="1:32" x14ac:dyDescent="0.25">
      <c r="A29" s="391" t="s">
        <v>1800</v>
      </c>
      <c r="B29" s="394" t="s">
        <v>1815</v>
      </c>
      <c r="C29" s="377">
        <f>'K-Villamosság (23)'!E27</f>
        <v>0</v>
      </c>
      <c r="D29" s="377">
        <f t="shared" si="14"/>
        <v>0</v>
      </c>
      <c r="E29" s="378">
        <f t="shared" si="15"/>
        <v>0</v>
      </c>
      <c r="F29" s="377">
        <f>'K-Villamosság (23)'!E28</f>
        <v>0</v>
      </c>
      <c r="G29" s="377">
        <f t="shared" si="16"/>
        <v>0</v>
      </c>
      <c r="H29" s="379">
        <f t="shared" si="17"/>
        <v>0</v>
      </c>
      <c r="I29" s="377">
        <f>'K-Villamosság (23)'!E29</f>
        <v>20.6</v>
      </c>
      <c r="J29" s="377">
        <f t="shared" si="18"/>
        <v>0</v>
      </c>
      <c r="K29" s="380">
        <f t="shared" si="19"/>
        <v>0</v>
      </c>
      <c r="L29" s="510">
        <v>0</v>
      </c>
      <c r="M29" s="377">
        <f t="shared" si="7"/>
        <v>0</v>
      </c>
      <c r="N29" s="514">
        <f t="shared" si="20"/>
        <v>0</v>
      </c>
      <c r="O29" s="377">
        <f>'K-Villamosság (23)'!E30</f>
        <v>186.9</v>
      </c>
      <c r="P29" s="377">
        <f t="shared" si="21"/>
        <v>0</v>
      </c>
      <c r="Q29" s="381">
        <f t="shared" si="22"/>
        <v>0</v>
      </c>
      <c r="R29" s="377">
        <f t="shared" si="23"/>
        <v>207.5</v>
      </c>
      <c r="S29" s="382">
        <f t="shared" si="24"/>
        <v>0</v>
      </c>
      <c r="U29" s="388">
        <f>R29-'K-Villamosság (23)'!E24</f>
        <v>-35.100000000000023</v>
      </c>
      <c r="V29" s="377">
        <f t="shared" si="26"/>
        <v>0</v>
      </c>
      <c r="X29" s="377">
        <v>1</v>
      </c>
      <c r="Y29" s="420">
        <f t="shared" si="25"/>
        <v>207.5</v>
      </c>
    </row>
    <row r="30" spans="1:32" x14ac:dyDescent="0.25">
      <c r="A30" s="391" t="s">
        <v>1801</v>
      </c>
      <c r="B30" s="394" t="s">
        <v>1816</v>
      </c>
      <c r="C30" s="377">
        <f>'K-Vizesblokk (24)'!E62</f>
        <v>103.05</v>
      </c>
      <c r="D30" s="377">
        <f t="shared" si="14"/>
        <v>0</v>
      </c>
      <c r="E30" s="378">
        <f t="shared" si="15"/>
        <v>0</v>
      </c>
      <c r="F30" s="377">
        <f>'K-Vizesblokk (24)'!E63</f>
        <v>0</v>
      </c>
      <c r="G30" s="377">
        <f t="shared" si="16"/>
        <v>0</v>
      </c>
      <c r="H30" s="379">
        <f t="shared" si="17"/>
        <v>0</v>
      </c>
      <c r="I30" s="377">
        <f>'K-Vizesblokk (24)'!E64</f>
        <v>40</v>
      </c>
      <c r="J30" s="377">
        <f t="shared" si="18"/>
        <v>0</v>
      </c>
      <c r="K30" s="380">
        <f t="shared" si="19"/>
        <v>0</v>
      </c>
      <c r="L30" s="510">
        <v>0</v>
      </c>
      <c r="M30" s="377">
        <f t="shared" si="7"/>
        <v>0</v>
      </c>
      <c r="N30" s="514">
        <f t="shared" si="20"/>
        <v>0</v>
      </c>
      <c r="O30" s="377">
        <f>'K-Vizesblokk (24)'!E65</f>
        <v>0</v>
      </c>
      <c r="P30" s="377">
        <f t="shared" si="21"/>
        <v>0</v>
      </c>
      <c r="Q30" s="381">
        <f t="shared" si="22"/>
        <v>0</v>
      </c>
      <c r="R30" s="377">
        <f t="shared" si="23"/>
        <v>143.05000000000001</v>
      </c>
      <c r="S30" s="382">
        <f t="shared" si="24"/>
        <v>0</v>
      </c>
      <c r="U30" s="388">
        <f>R30-'K-Vizesblokk (24)'!E59</f>
        <v>0</v>
      </c>
      <c r="V30" s="377">
        <f t="shared" si="26"/>
        <v>0</v>
      </c>
      <c r="X30" s="377">
        <v>30.42</v>
      </c>
      <c r="Y30" s="420">
        <f t="shared" si="25"/>
        <v>4351.581000000001</v>
      </c>
      <c r="Z30" s="370">
        <f>R30</f>
        <v>143.05000000000001</v>
      </c>
    </row>
    <row r="31" spans="1:32" x14ac:dyDescent="0.25">
      <c r="A31" s="391" t="s">
        <v>1802</v>
      </c>
      <c r="B31" s="394" t="s">
        <v>1817</v>
      </c>
      <c r="C31" s="377">
        <f>'K-Hulladék (25)'!E11</f>
        <v>0</v>
      </c>
      <c r="D31" s="377">
        <f t="shared" si="14"/>
        <v>0</v>
      </c>
      <c r="E31" s="378">
        <f t="shared" si="15"/>
        <v>0</v>
      </c>
      <c r="F31" s="377">
        <f>'K-Hulladék (25)'!E12</f>
        <v>0</v>
      </c>
      <c r="G31" s="377">
        <f t="shared" si="16"/>
        <v>0</v>
      </c>
      <c r="H31" s="379">
        <f t="shared" si="17"/>
        <v>0</v>
      </c>
      <c r="I31" s="377">
        <f>'K-Hulladék (25)'!E13</f>
        <v>0</v>
      </c>
      <c r="J31" s="377">
        <f t="shared" si="18"/>
        <v>0</v>
      </c>
      <c r="K31" s="380">
        <f t="shared" si="19"/>
        <v>0</v>
      </c>
      <c r="L31" s="510">
        <v>0</v>
      </c>
      <c r="M31" s="377">
        <f t="shared" si="7"/>
        <v>0</v>
      </c>
      <c r="N31" s="514">
        <f t="shared" si="20"/>
        <v>0</v>
      </c>
      <c r="O31" s="377">
        <f>'K-Hulladék (25)'!E14</f>
        <v>26.200000000000003</v>
      </c>
      <c r="P31" s="377">
        <f t="shared" si="21"/>
        <v>0</v>
      </c>
      <c r="Q31" s="381">
        <f t="shared" si="22"/>
        <v>0</v>
      </c>
      <c r="R31" s="377">
        <f t="shared" si="23"/>
        <v>26.200000000000003</v>
      </c>
      <c r="S31" s="382">
        <f t="shared" si="24"/>
        <v>0</v>
      </c>
      <c r="U31" s="388">
        <f>R31-'K-Hulladék (25)'!E8</f>
        <v>0</v>
      </c>
      <c r="V31" s="377">
        <f t="shared" si="26"/>
        <v>0</v>
      </c>
      <c r="X31" s="377">
        <v>30.42</v>
      </c>
      <c r="Y31" s="420">
        <f t="shared" si="25"/>
        <v>797.00400000000013</v>
      </c>
      <c r="Z31" s="370">
        <f>R31</f>
        <v>26.200000000000003</v>
      </c>
    </row>
    <row r="32" spans="1:32" x14ac:dyDescent="0.25">
      <c r="A32" s="391" t="s">
        <v>1803</v>
      </c>
      <c r="B32" s="395" t="s">
        <v>1818</v>
      </c>
      <c r="C32" s="377">
        <f>'K-Egyéb (26)'!E34</f>
        <v>2.2999999999999998</v>
      </c>
      <c r="D32" s="377">
        <f t="shared" si="14"/>
        <v>0</v>
      </c>
      <c r="E32" s="378">
        <f t="shared" si="15"/>
        <v>0</v>
      </c>
      <c r="F32" s="377">
        <f>'K-Egyéb (26)'!E35</f>
        <v>0</v>
      </c>
      <c r="G32" s="377">
        <f t="shared" si="16"/>
        <v>0</v>
      </c>
      <c r="H32" s="379">
        <f t="shared" si="17"/>
        <v>0</v>
      </c>
      <c r="I32" s="377">
        <f>'K-Egyéb (26)'!E36</f>
        <v>527.70000000000005</v>
      </c>
      <c r="J32" s="377">
        <f t="shared" si="18"/>
        <v>0</v>
      </c>
      <c r="K32" s="380">
        <f t="shared" si="19"/>
        <v>0</v>
      </c>
      <c r="L32" s="510">
        <v>0</v>
      </c>
      <c r="M32" s="377">
        <f t="shared" si="7"/>
        <v>0</v>
      </c>
      <c r="N32" s="514">
        <f t="shared" si="20"/>
        <v>0</v>
      </c>
      <c r="O32" s="377">
        <f>'K-Egyéb (26)'!E37</f>
        <v>0</v>
      </c>
      <c r="P32" s="377">
        <f t="shared" si="21"/>
        <v>0</v>
      </c>
      <c r="Q32" s="381">
        <f t="shared" si="22"/>
        <v>0</v>
      </c>
      <c r="R32" s="377">
        <f t="shared" si="23"/>
        <v>530</v>
      </c>
      <c r="S32" s="382">
        <f t="shared" si="24"/>
        <v>0</v>
      </c>
      <c r="U32" s="388">
        <f>R32-'K-Egyéb (26)'!E31</f>
        <v>0</v>
      </c>
      <c r="V32" s="377">
        <f t="shared" si="26"/>
        <v>0</v>
      </c>
      <c r="X32" s="377">
        <v>21</v>
      </c>
      <c r="Y32" s="420">
        <f t="shared" si="25"/>
        <v>11130</v>
      </c>
    </row>
    <row r="33" spans="1:31" x14ac:dyDescent="0.25">
      <c r="A33" s="602" t="s">
        <v>1823</v>
      </c>
      <c r="B33" s="607"/>
      <c r="C33" s="383">
        <f>SUM(C24:C32)</f>
        <v>263.35000000000002</v>
      </c>
      <c r="D33" s="383">
        <f t="shared" si="14"/>
        <v>0</v>
      </c>
      <c r="E33" s="372">
        <f>SUM(E24:E32)</f>
        <v>0</v>
      </c>
      <c r="F33" s="384">
        <f>SUM(F24:F32)</f>
        <v>0</v>
      </c>
      <c r="G33" s="384">
        <f t="shared" si="16"/>
        <v>0</v>
      </c>
      <c r="H33" s="379">
        <f>SUM(H24:H32)</f>
        <v>0</v>
      </c>
      <c r="I33" s="385">
        <f>SUM(I24:I32)</f>
        <v>4481.63</v>
      </c>
      <c r="J33" s="385">
        <f t="shared" si="18"/>
        <v>0</v>
      </c>
      <c r="K33" s="374">
        <f>SUM(K24:K32)</f>
        <v>0</v>
      </c>
      <c r="L33" s="512">
        <f>SUM(L24:L32)</f>
        <v>0</v>
      </c>
      <c r="M33" s="512">
        <f t="shared" si="7"/>
        <v>0</v>
      </c>
      <c r="N33" s="513">
        <f>SUM(N24:N32)</f>
        <v>0</v>
      </c>
      <c r="O33" s="386">
        <f>SUM(O24:O32)</f>
        <v>1970.2</v>
      </c>
      <c r="P33" s="386">
        <f t="shared" si="21"/>
        <v>0</v>
      </c>
      <c r="Q33" s="375">
        <f>SUM(Q24:Q32)</f>
        <v>0</v>
      </c>
      <c r="R33" s="387">
        <f t="shared" ref="R33:S33" si="27">SUM(R24:R32)</f>
        <v>6715.18</v>
      </c>
      <c r="S33" s="376">
        <f t="shared" si="27"/>
        <v>0</v>
      </c>
      <c r="V33" s="387">
        <f>S33/R33/X33</f>
        <v>0</v>
      </c>
      <c r="X33" s="377">
        <f>SUM(Y24:Y32)/R33</f>
        <v>22.598823203547784</v>
      </c>
      <c r="Y33" s="420"/>
    </row>
    <row r="34" spans="1:31" x14ac:dyDescent="0.25">
      <c r="A34" s="579"/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580"/>
      <c r="T34" s="529"/>
      <c r="U34" s="442"/>
      <c r="V34" s="440"/>
      <c r="X34" s="377"/>
      <c r="Y34" s="420"/>
    </row>
    <row r="35" spans="1:31" x14ac:dyDescent="0.25">
      <c r="A35" s="609" t="s">
        <v>1550</v>
      </c>
      <c r="B35" s="610"/>
      <c r="C35" s="372">
        <f>C22+C33</f>
        <v>5180.4600000000009</v>
      </c>
      <c r="D35" s="372">
        <f>$D$38</f>
        <v>0</v>
      </c>
      <c r="E35" s="406">
        <f>E22+E33</f>
        <v>0</v>
      </c>
      <c r="F35" s="373">
        <f>F22+F33</f>
        <v>3743.4499999999989</v>
      </c>
      <c r="G35" s="373">
        <f>$D$39</f>
        <v>0</v>
      </c>
      <c r="H35" s="404">
        <f>H22+H33</f>
        <v>0</v>
      </c>
      <c r="I35" s="374">
        <f>I22+I33</f>
        <v>7422.2150000000001</v>
      </c>
      <c r="J35" s="374">
        <f>$D$40</f>
        <v>0</v>
      </c>
      <c r="K35" s="405">
        <f>K22+K33</f>
        <v>0</v>
      </c>
      <c r="L35" s="513">
        <f>L22+L33</f>
        <v>4478.7099999999991</v>
      </c>
      <c r="M35" s="513">
        <f t="shared" si="7"/>
        <v>0</v>
      </c>
      <c r="N35" s="513">
        <f>N22+N33</f>
        <v>0</v>
      </c>
      <c r="O35" s="375">
        <f>O22+O33</f>
        <v>2093.91</v>
      </c>
      <c r="P35" s="375">
        <f>$D$42</f>
        <v>0</v>
      </c>
      <c r="Q35" s="407">
        <f>Q22+Q33</f>
        <v>0</v>
      </c>
      <c r="R35" s="376">
        <f>R22+R33</f>
        <v>22918.745000000003</v>
      </c>
      <c r="S35" s="403">
        <f>S22+S33</f>
        <v>0</v>
      </c>
      <c r="V35" s="409">
        <f>S35/R35/X35</f>
        <v>0</v>
      </c>
      <c r="X35" s="377">
        <f>(SUM(Y7:Y21)+SUM(Y24:Y32))/R35</f>
        <v>26.6918611512105</v>
      </c>
      <c r="Y35" s="429"/>
      <c r="Z35" s="370">
        <f>SUM(Z7:Z33)</f>
        <v>17278.165000000001</v>
      </c>
      <c r="AA35" s="412">
        <f>Z35/R35</f>
        <v>0.75388792012826178</v>
      </c>
      <c r="AB35" s="418" t="s">
        <v>1828</v>
      </c>
      <c r="AC35" s="484">
        <f>365-104-5</f>
        <v>256</v>
      </c>
      <c r="AD35" s="423" t="s">
        <v>1833</v>
      </c>
    </row>
    <row r="36" spans="1:31" x14ac:dyDescent="0.25">
      <c r="AB36" s="419" t="s">
        <v>1829</v>
      </c>
      <c r="AC36" s="465">
        <v>365</v>
      </c>
      <c r="AD36" s="424" t="s">
        <v>1833</v>
      </c>
    </row>
    <row r="37" spans="1:31" ht="15.75" thickBot="1" x14ac:dyDescent="0.3">
      <c r="B37" s="371" t="s">
        <v>1821</v>
      </c>
      <c r="C37" s="371" t="s">
        <v>1935</v>
      </c>
      <c r="E37" s="511" t="s">
        <v>2026</v>
      </c>
      <c r="H37" s="608" t="s">
        <v>2010</v>
      </c>
      <c r="I37" s="608"/>
      <c r="J37" s="562"/>
      <c r="K37" s="611" t="s">
        <v>2009</v>
      </c>
      <c r="L37" s="611"/>
      <c r="M37" s="562"/>
      <c r="N37" s="611" t="s">
        <v>2011</v>
      </c>
      <c r="O37" s="611"/>
      <c r="Q37" s="601" t="s">
        <v>1836</v>
      </c>
      <c r="R37" s="601"/>
      <c r="S37" s="560"/>
      <c r="T37" s="492"/>
      <c r="V37" s="430" t="s">
        <v>1825</v>
      </c>
      <c r="AB37" s="419" t="s">
        <v>1831</v>
      </c>
      <c r="AC37" s="465">
        <f>(AC35*(100%-AA35)+AC36*AA35)</f>
        <v>338.17378329398053</v>
      </c>
      <c r="AD37" s="424" t="s">
        <v>1833</v>
      </c>
    </row>
    <row r="38" spans="1:31" ht="17.25" customHeight="1" x14ac:dyDescent="0.25">
      <c r="B38" s="370"/>
      <c r="C38" s="516" t="s">
        <v>5</v>
      </c>
      <c r="D38" s="517">
        <v>0</v>
      </c>
      <c r="E38" s="518" t="s">
        <v>2074</v>
      </c>
      <c r="F38" s="532"/>
      <c r="G38" s="533"/>
      <c r="H38" s="436">
        <f>E35</f>
        <v>0</v>
      </c>
      <c r="I38" s="437" t="s">
        <v>1825</v>
      </c>
      <c r="J38" s="562"/>
      <c r="K38" s="563">
        <f>'Összesítő (2)'!H39</f>
        <v>0</v>
      </c>
      <c r="L38" s="564" t="s">
        <v>1825</v>
      </c>
      <c r="M38" s="562"/>
      <c r="N38" s="563">
        <f t="shared" ref="N38:N42" si="28">K38-H38</f>
        <v>0</v>
      </c>
      <c r="O38" s="564" t="s">
        <v>1825</v>
      </c>
      <c r="Q38" s="601"/>
      <c r="R38" s="601"/>
      <c r="S38" s="560">
        <f>S35*4</f>
        <v>0</v>
      </c>
      <c r="V38" s="430" t="s">
        <v>1825</v>
      </c>
      <c r="AB38" s="421" t="s">
        <v>1830</v>
      </c>
      <c r="AC38" s="485">
        <f>AC37/12</f>
        <v>28.181148607831712</v>
      </c>
      <c r="AD38" s="422" t="s">
        <v>1832</v>
      </c>
    </row>
    <row r="39" spans="1:31" ht="17.25" x14ac:dyDescent="0.25">
      <c r="C39" s="519" t="s">
        <v>37</v>
      </c>
      <c r="D39" s="475">
        <v>0</v>
      </c>
      <c r="E39" s="520" t="s">
        <v>2074</v>
      </c>
      <c r="F39" s="530"/>
      <c r="G39" s="531"/>
      <c r="H39" s="534">
        <f>H35</f>
        <v>0</v>
      </c>
      <c r="I39" s="535" t="s">
        <v>1825</v>
      </c>
      <c r="J39" s="562"/>
      <c r="K39" s="563">
        <f>'Összesítő (2)'!H40</f>
        <v>0</v>
      </c>
      <c r="L39" s="564" t="s">
        <v>1825</v>
      </c>
      <c r="M39" s="562"/>
      <c r="N39" s="563">
        <f t="shared" si="28"/>
        <v>0</v>
      </c>
      <c r="O39" s="564" t="s">
        <v>1825</v>
      </c>
      <c r="Q39" s="561"/>
      <c r="R39" s="561"/>
      <c r="S39" s="560"/>
      <c r="V39" s="430" t="s">
        <v>1825</v>
      </c>
      <c r="AB39" s="428" t="s">
        <v>1834</v>
      </c>
      <c r="AC39" s="484">
        <f>365-91</f>
        <v>274</v>
      </c>
      <c r="AD39" s="423" t="s">
        <v>1833</v>
      </c>
    </row>
    <row r="40" spans="1:31" ht="17.25" x14ac:dyDescent="0.25">
      <c r="C40" s="521" t="s">
        <v>361</v>
      </c>
      <c r="D40" s="476">
        <v>0</v>
      </c>
      <c r="E40" s="522" t="s">
        <v>2074</v>
      </c>
      <c r="F40" s="532"/>
      <c r="G40" s="533"/>
      <c r="H40" s="433">
        <f>K35</f>
        <v>0</v>
      </c>
      <c r="I40" s="435" t="s">
        <v>1825</v>
      </c>
      <c r="J40" s="562"/>
      <c r="K40" s="563">
        <f>'Összesítő (2)'!H41</f>
        <v>0</v>
      </c>
      <c r="L40" s="564" t="s">
        <v>1825</v>
      </c>
      <c r="M40" s="562"/>
      <c r="N40" s="563">
        <f t="shared" si="28"/>
        <v>0</v>
      </c>
      <c r="O40" s="564" t="s">
        <v>1825</v>
      </c>
      <c r="Q40" s="565"/>
      <c r="R40" s="565"/>
      <c r="S40" s="529"/>
      <c r="AB40" s="421" t="s">
        <v>1835</v>
      </c>
      <c r="AC40" s="486">
        <f>AC39/365</f>
        <v>0.75068493150684934</v>
      </c>
      <c r="AD40" s="429"/>
    </row>
    <row r="41" spans="1:31" ht="17.25" x14ac:dyDescent="0.25">
      <c r="C41" s="523" t="s">
        <v>278</v>
      </c>
      <c r="D41" s="528">
        <v>0</v>
      </c>
      <c r="E41" s="524" t="s">
        <v>2074</v>
      </c>
      <c r="F41" s="530"/>
      <c r="G41" s="531"/>
      <c r="H41" s="536">
        <f>N35</f>
        <v>0</v>
      </c>
      <c r="I41" s="537" t="s">
        <v>1825</v>
      </c>
      <c r="J41" s="562"/>
      <c r="K41" s="563">
        <v>0</v>
      </c>
      <c r="L41" s="564" t="s">
        <v>1825</v>
      </c>
      <c r="M41" s="562"/>
      <c r="N41" s="563">
        <f t="shared" si="28"/>
        <v>0</v>
      </c>
      <c r="O41" s="564" t="s">
        <v>1825</v>
      </c>
      <c r="Q41" s="601" t="s">
        <v>1838</v>
      </c>
      <c r="R41" s="601"/>
      <c r="S41" s="560"/>
      <c r="V41" s="430" t="s">
        <v>1825</v>
      </c>
    </row>
    <row r="42" spans="1:31" ht="18" thickBot="1" x14ac:dyDescent="0.3">
      <c r="C42" s="525" t="s">
        <v>229</v>
      </c>
      <c r="D42" s="526">
        <v>0</v>
      </c>
      <c r="E42" s="527" t="s">
        <v>2074</v>
      </c>
      <c r="F42" s="532"/>
      <c r="G42" s="533"/>
      <c r="H42" s="438">
        <f>Q35</f>
        <v>0</v>
      </c>
      <c r="I42" s="439" t="s">
        <v>1825</v>
      </c>
      <c r="J42" s="562"/>
      <c r="K42" s="563">
        <f>'Összesítő (2)'!H42</f>
        <v>0</v>
      </c>
      <c r="L42" s="564" t="s">
        <v>1825</v>
      </c>
      <c r="M42" s="562"/>
      <c r="N42" s="563">
        <f t="shared" si="28"/>
        <v>0</v>
      </c>
      <c r="O42" s="564" t="s">
        <v>1825</v>
      </c>
      <c r="Q42" s="601"/>
      <c r="R42" s="601"/>
      <c r="S42" s="560">
        <f>S38*1.27</f>
        <v>0</v>
      </c>
      <c r="V42" s="430" t="s">
        <v>1825</v>
      </c>
      <c r="AB42" s="465"/>
      <c r="AC42" s="465"/>
      <c r="AD42" s="463"/>
      <c r="AE42" s="463"/>
    </row>
    <row r="43" spans="1:31" x14ac:dyDescent="0.25">
      <c r="G43" s="371" t="s">
        <v>274</v>
      </c>
      <c r="H43" s="371">
        <f>SUM(H38:H42)</f>
        <v>0</v>
      </c>
      <c r="I43" s="415" t="s">
        <v>1825</v>
      </c>
      <c r="J43" s="563" t="s">
        <v>274</v>
      </c>
      <c r="K43" s="563">
        <f>SUM(K38:K42)</f>
        <v>0</v>
      </c>
      <c r="L43" s="564" t="s">
        <v>1825</v>
      </c>
      <c r="M43" s="562"/>
      <c r="N43" s="563">
        <f>K43-H43</f>
        <v>0</v>
      </c>
      <c r="O43" s="564" t="s">
        <v>1825</v>
      </c>
      <c r="Q43" s="561"/>
      <c r="R43" s="561"/>
      <c r="S43" s="560"/>
      <c r="V43" s="430" t="s">
        <v>1825</v>
      </c>
      <c r="AB43" s="483">
        <v>172545185</v>
      </c>
      <c r="AC43" s="465"/>
      <c r="AD43" s="464"/>
      <c r="AE43" s="463"/>
    </row>
    <row r="44" spans="1:31" x14ac:dyDescent="0.25">
      <c r="AB44" s="483">
        <f>AB43*AC40</f>
        <v>129527070.38356164</v>
      </c>
      <c r="AC44" s="465"/>
      <c r="AD44" s="464"/>
      <c r="AE44" s="463"/>
    </row>
    <row r="45" spans="1:31" x14ac:dyDescent="0.25">
      <c r="AB45" s="465"/>
      <c r="AC45" s="465"/>
      <c r="AD45" s="463"/>
      <c r="AE45" s="463"/>
    </row>
    <row r="48" spans="1:31" x14ac:dyDescent="0.25">
      <c r="AB48" s="479"/>
    </row>
    <row r="49" spans="28:28" x14ac:dyDescent="0.25">
      <c r="AB49" s="479"/>
    </row>
  </sheetData>
  <sheetProtection password="87E5" sheet="1" objects="1" scenarios="1" selectLockedCells="1" selectUnlockedCells="1"/>
  <protectedRanges>
    <protectedRange sqref="D38:D42" name="Tartomány2"/>
  </protectedRanges>
  <mergeCells count="25">
    <mergeCell ref="Q38:R38"/>
    <mergeCell ref="Q41:R41"/>
    <mergeCell ref="Q42:R42"/>
    <mergeCell ref="A22:B22"/>
    <mergeCell ref="A23:S23"/>
    <mergeCell ref="A33:B33"/>
    <mergeCell ref="A34:S34"/>
    <mergeCell ref="A35:B35"/>
    <mergeCell ref="Q37:R37"/>
    <mergeCell ref="H37:I37"/>
    <mergeCell ref="K37:L37"/>
    <mergeCell ref="N37:O37"/>
    <mergeCell ref="Y4:Y6"/>
    <mergeCell ref="X4:X6"/>
    <mergeCell ref="A2:S2"/>
    <mergeCell ref="A4:B6"/>
    <mergeCell ref="C4:S4"/>
    <mergeCell ref="U4:U6"/>
    <mergeCell ref="V4:V6"/>
    <mergeCell ref="C5:E5"/>
    <mergeCell ref="F5:H5"/>
    <mergeCell ref="I5:K5"/>
    <mergeCell ref="O5:Q5"/>
    <mergeCell ref="R5:S5"/>
    <mergeCell ref="L5:N5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80" zoomScaleNormal="80" workbookViewId="0">
      <pane xSplit="6" ySplit="4" topLeftCell="G23" activePane="bottomRight" state="frozen"/>
      <selection pane="topRight" activeCell="G1" sqref="G1"/>
      <selection pane="bottomLeft" activeCell="A5" sqref="A5"/>
      <selection pane="bottomRight" activeCell="C44" sqref="C44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2.7109375" customWidth="1"/>
    <col min="5" max="5" width="9.140625" style="250"/>
    <col min="6" max="6" width="4.140625" customWidth="1"/>
    <col min="7" max="7" width="10.85546875" customWidth="1"/>
    <col min="8" max="8" width="14.7109375" customWidth="1"/>
    <col min="9" max="10" width="11.42578125" customWidth="1"/>
    <col min="11" max="11" width="27.42578125" customWidth="1"/>
    <col min="12" max="12" width="10.42578125" customWidth="1"/>
    <col min="13" max="13" width="7.7109375" customWidth="1"/>
    <col min="14" max="15" width="6" customWidth="1"/>
    <col min="16" max="16" width="7.5703125" customWidth="1"/>
    <col min="17" max="17" width="8" customWidth="1"/>
    <col min="18" max="18" width="9.140625" customWidth="1"/>
    <col min="19" max="19" width="7.7109375" customWidth="1"/>
    <col min="20" max="20" width="7" customWidth="1"/>
    <col min="21" max="21" width="7.85546875" customWidth="1"/>
    <col min="22" max="22" width="6" customWidth="1"/>
    <col min="23" max="23" width="7.28515625" customWidth="1"/>
    <col min="24" max="24" width="8.140625" customWidth="1"/>
    <col min="25" max="25" width="8.5703125" customWidth="1"/>
  </cols>
  <sheetData>
    <row r="1" spans="1:25" ht="15" customHeight="1" x14ac:dyDescent="0.25">
      <c r="A1" s="642" t="s">
        <v>1587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1563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123</v>
      </c>
    </row>
    <row r="2" spans="1:25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5" s="163" customFormat="1" ht="33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5" ht="15.75" thickBot="1" x14ac:dyDescent="0.3">
      <c r="A4" s="211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99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25" ht="30" customHeight="1" x14ac:dyDescent="0.25">
      <c r="A5" s="177" t="s">
        <v>277</v>
      </c>
      <c r="B5" s="177" t="s">
        <v>361</v>
      </c>
      <c r="C5" s="177" t="s">
        <v>1562</v>
      </c>
      <c r="D5" s="177" t="s">
        <v>394</v>
      </c>
      <c r="E5" s="194">
        <v>44.8</v>
      </c>
      <c r="F5" s="177" t="s">
        <v>4</v>
      </c>
      <c r="G5" s="22" t="s">
        <v>5</v>
      </c>
      <c r="H5" s="181" t="s">
        <v>738</v>
      </c>
      <c r="I5" s="22"/>
      <c r="J5" s="22" t="s">
        <v>194</v>
      </c>
      <c r="K5" s="21" t="s">
        <v>1448</v>
      </c>
      <c r="L5" s="177" t="s">
        <v>6</v>
      </c>
      <c r="M5" s="177" t="s">
        <v>7</v>
      </c>
      <c r="N5" s="177">
        <v>1500</v>
      </c>
      <c r="O5" s="177">
        <v>2125</v>
      </c>
      <c r="P5" s="140">
        <f t="shared" ref="P5:P15" si="0">N5*O5*0.000001</f>
        <v>3.1875</v>
      </c>
      <c r="Q5" s="140"/>
      <c r="R5" s="140"/>
      <c r="S5" s="140">
        <v>29.58</v>
      </c>
      <c r="T5" s="140">
        <v>3.3</v>
      </c>
      <c r="U5" s="140">
        <f>S5*T5-P5</f>
        <v>94.42649999999999</v>
      </c>
      <c r="V5" s="140"/>
      <c r="W5" s="140"/>
      <c r="X5" s="140"/>
      <c r="Y5" s="140"/>
    </row>
    <row r="6" spans="1:25" ht="30" customHeight="1" x14ac:dyDescent="0.25">
      <c r="A6" s="139" t="s">
        <v>277</v>
      </c>
      <c r="B6" s="139" t="s">
        <v>361</v>
      </c>
      <c r="C6" s="139" t="s">
        <v>1564</v>
      </c>
      <c r="D6" s="139" t="s">
        <v>1565</v>
      </c>
      <c r="E6" s="190">
        <v>13.6</v>
      </c>
      <c r="F6" s="139" t="s">
        <v>4</v>
      </c>
      <c r="G6" s="6" t="s">
        <v>5</v>
      </c>
      <c r="H6" s="181" t="s">
        <v>738</v>
      </c>
      <c r="I6" s="6"/>
      <c r="J6" s="6" t="s">
        <v>194</v>
      </c>
      <c r="K6" s="21" t="s">
        <v>1448</v>
      </c>
      <c r="L6" s="139" t="s">
        <v>6</v>
      </c>
      <c r="M6" s="139" t="s">
        <v>7</v>
      </c>
      <c r="N6" s="139">
        <v>1500</v>
      </c>
      <c r="O6" s="139">
        <v>2125</v>
      </c>
      <c r="P6" s="141">
        <f t="shared" si="0"/>
        <v>3.1875</v>
      </c>
      <c r="Q6" s="141"/>
      <c r="R6" s="141"/>
      <c r="S6" s="141">
        <v>15.05</v>
      </c>
      <c r="T6" s="141">
        <v>2.4</v>
      </c>
      <c r="U6" s="141">
        <f>S6*T6-P6</f>
        <v>32.932499999999997</v>
      </c>
      <c r="V6" s="141"/>
      <c r="W6" s="141"/>
      <c r="X6" s="141"/>
      <c r="Y6" s="141"/>
    </row>
    <row r="7" spans="1:25" ht="30" customHeight="1" x14ac:dyDescent="0.25">
      <c r="A7" s="1" t="s">
        <v>277</v>
      </c>
      <c r="B7" s="1" t="s">
        <v>278</v>
      </c>
      <c r="C7" s="1" t="s">
        <v>1566</v>
      </c>
      <c r="D7" s="1" t="s">
        <v>75</v>
      </c>
      <c r="E7" s="29">
        <v>10.7</v>
      </c>
      <c r="F7" s="1" t="s">
        <v>4</v>
      </c>
      <c r="G7" s="6" t="s">
        <v>5</v>
      </c>
      <c r="H7" s="181" t="s">
        <v>738</v>
      </c>
      <c r="I7" s="6"/>
      <c r="J7" s="6" t="s">
        <v>194</v>
      </c>
      <c r="K7" s="21" t="s">
        <v>1448</v>
      </c>
      <c r="L7" s="1" t="s">
        <v>6</v>
      </c>
      <c r="M7" s="1" t="s">
        <v>7</v>
      </c>
      <c r="N7" s="1">
        <v>1500</v>
      </c>
      <c r="O7" s="1">
        <v>2125</v>
      </c>
      <c r="P7" s="30">
        <f t="shared" si="0"/>
        <v>3.1875</v>
      </c>
      <c r="Q7" s="30"/>
      <c r="R7" s="30"/>
      <c r="S7" s="30">
        <v>17.239999999999998</v>
      </c>
      <c r="T7" s="30">
        <v>2.4</v>
      </c>
      <c r="U7" s="30"/>
      <c r="V7" s="30"/>
      <c r="W7" s="30"/>
      <c r="X7" s="30">
        <f>S7*T7-P7</f>
        <v>38.188499999999998</v>
      </c>
      <c r="Y7" s="30"/>
    </row>
    <row r="8" spans="1:25" ht="30" customHeight="1" x14ac:dyDescent="0.25">
      <c r="A8" s="139" t="s">
        <v>277</v>
      </c>
      <c r="B8" s="139" t="s">
        <v>228</v>
      </c>
      <c r="C8" s="139" t="s">
        <v>1567</v>
      </c>
      <c r="D8" s="139" t="s">
        <v>223</v>
      </c>
      <c r="E8" s="190">
        <v>15.6</v>
      </c>
      <c r="F8" s="139" t="s">
        <v>4</v>
      </c>
      <c r="G8" s="6" t="s">
        <v>5</v>
      </c>
      <c r="H8" s="181" t="s">
        <v>738</v>
      </c>
      <c r="I8" s="6"/>
      <c r="J8" s="6" t="s">
        <v>194</v>
      </c>
      <c r="K8" s="21" t="s">
        <v>1448</v>
      </c>
      <c r="L8" s="139" t="s">
        <v>81</v>
      </c>
      <c r="M8" s="139" t="s">
        <v>7</v>
      </c>
      <c r="N8" s="139">
        <v>1500</v>
      </c>
      <c r="O8" s="139">
        <v>2125</v>
      </c>
      <c r="P8" s="141">
        <f t="shared" si="0"/>
        <v>3.1875</v>
      </c>
      <c r="Q8" s="141"/>
      <c r="R8" s="141"/>
      <c r="S8" s="141">
        <v>16.37</v>
      </c>
      <c r="T8" s="141">
        <v>2.5</v>
      </c>
      <c r="U8" s="141"/>
      <c r="V8" s="141"/>
      <c r="W8" s="141"/>
      <c r="X8" s="141">
        <f>S8*T8-P8-1.98</f>
        <v>35.757500000000007</v>
      </c>
      <c r="Y8" s="141"/>
    </row>
    <row r="9" spans="1:25" ht="30" customHeight="1" x14ac:dyDescent="0.25">
      <c r="A9" s="139" t="s">
        <v>277</v>
      </c>
      <c r="B9" s="139" t="s">
        <v>361</v>
      </c>
      <c r="C9" s="139" t="s">
        <v>1568</v>
      </c>
      <c r="D9" s="139" t="s">
        <v>3</v>
      </c>
      <c r="E9" s="190">
        <v>37.200000000000003</v>
      </c>
      <c r="F9" s="139" t="s">
        <v>4</v>
      </c>
      <c r="G9" s="6" t="s">
        <v>77</v>
      </c>
      <c r="H9" s="181" t="s">
        <v>738</v>
      </c>
      <c r="I9" s="6"/>
      <c r="J9" s="6" t="s">
        <v>194</v>
      </c>
      <c r="K9" s="21" t="s">
        <v>2066</v>
      </c>
      <c r="L9" s="139" t="s">
        <v>6</v>
      </c>
      <c r="M9" s="139" t="s">
        <v>7</v>
      </c>
      <c r="N9" s="139">
        <v>4500</v>
      </c>
      <c r="O9" s="139">
        <v>2125</v>
      </c>
      <c r="P9" s="141">
        <f t="shared" si="0"/>
        <v>9.5625</v>
      </c>
      <c r="Q9" s="141"/>
      <c r="R9" s="141"/>
      <c r="S9" s="141">
        <v>26.42</v>
      </c>
      <c r="T9" s="141">
        <v>3.3</v>
      </c>
      <c r="U9" s="141">
        <f t="shared" ref="U9:U14" si="1">S9*T9-P9</f>
        <v>77.623500000000007</v>
      </c>
      <c r="V9" s="141"/>
      <c r="W9" s="141"/>
      <c r="X9" s="141"/>
      <c r="Y9" s="141"/>
    </row>
    <row r="10" spans="1:25" ht="30" customHeight="1" x14ac:dyDescent="0.25">
      <c r="A10" s="139" t="s">
        <v>277</v>
      </c>
      <c r="B10" s="139" t="s">
        <v>361</v>
      </c>
      <c r="C10" s="139" t="s">
        <v>1569</v>
      </c>
      <c r="D10" s="139" t="s">
        <v>80</v>
      </c>
      <c r="E10" s="190">
        <v>43.4</v>
      </c>
      <c r="F10" s="139" t="s">
        <v>4</v>
      </c>
      <c r="G10" s="6" t="s">
        <v>229</v>
      </c>
      <c r="H10" s="181"/>
      <c r="I10" s="6"/>
      <c r="J10" s="6" t="s">
        <v>194</v>
      </c>
      <c r="K10" s="21"/>
      <c r="L10" s="139" t="s">
        <v>6</v>
      </c>
      <c r="M10" s="139" t="s">
        <v>7</v>
      </c>
      <c r="N10" s="139">
        <v>1500</v>
      </c>
      <c r="O10" s="139">
        <v>2125</v>
      </c>
      <c r="P10" s="141">
        <f t="shared" si="0"/>
        <v>3.1875</v>
      </c>
      <c r="Q10" s="141"/>
      <c r="R10" s="141"/>
      <c r="S10" s="141">
        <v>27.17</v>
      </c>
      <c r="T10" s="141">
        <v>3.3</v>
      </c>
      <c r="U10" s="141">
        <f t="shared" si="1"/>
        <v>86.473500000000001</v>
      </c>
      <c r="V10" s="141"/>
      <c r="W10" s="141"/>
      <c r="X10" s="141"/>
      <c r="Y10" s="141"/>
    </row>
    <row r="11" spans="1:25" ht="30" customHeight="1" x14ac:dyDescent="0.25">
      <c r="A11" s="139" t="s">
        <v>277</v>
      </c>
      <c r="B11" s="139" t="s">
        <v>361</v>
      </c>
      <c r="C11" s="139" t="s">
        <v>1570</v>
      </c>
      <c r="D11" s="139" t="s">
        <v>80</v>
      </c>
      <c r="E11" s="190">
        <v>43.9</v>
      </c>
      <c r="F11" s="139" t="s">
        <v>4</v>
      </c>
      <c r="G11" s="6" t="s">
        <v>229</v>
      </c>
      <c r="H11" s="181"/>
      <c r="I11" s="6"/>
      <c r="J11" s="6" t="s">
        <v>194</v>
      </c>
      <c r="K11" s="21"/>
      <c r="L11" s="139" t="s">
        <v>6</v>
      </c>
      <c r="M11" s="139" t="s">
        <v>7</v>
      </c>
      <c r="N11" s="139">
        <v>1500</v>
      </c>
      <c r="O11" s="139">
        <v>2125</v>
      </c>
      <c r="P11" s="141">
        <f t="shared" si="0"/>
        <v>3.1875</v>
      </c>
      <c r="Q11" s="141"/>
      <c r="R11" s="141"/>
      <c r="S11" s="141">
        <v>26.55</v>
      </c>
      <c r="T11" s="141">
        <v>3.3</v>
      </c>
      <c r="U11" s="141">
        <f t="shared" si="1"/>
        <v>84.427499999999995</v>
      </c>
      <c r="V11" s="141"/>
      <c r="W11" s="141"/>
      <c r="X11" s="141"/>
      <c r="Y11" s="141"/>
    </row>
    <row r="12" spans="1:25" ht="30" customHeight="1" x14ac:dyDescent="0.25">
      <c r="A12" s="139" t="s">
        <v>277</v>
      </c>
      <c r="B12" s="139" t="s">
        <v>361</v>
      </c>
      <c r="C12" s="139" t="s">
        <v>1571</v>
      </c>
      <c r="D12" s="139" t="s">
        <v>80</v>
      </c>
      <c r="E12" s="190">
        <v>42.5</v>
      </c>
      <c r="F12" s="139" t="s">
        <v>4</v>
      </c>
      <c r="G12" s="6" t="s">
        <v>229</v>
      </c>
      <c r="H12" s="181"/>
      <c r="I12" s="6"/>
      <c r="J12" s="6" t="s">
        <v>194</v>
      </c>
      <c r="K12" s="21"/>
      <c r="L12" s="139" t="s">
        <v>6</v>
      </c>
      <c r="M12" s="139" t="s">
        <v>7</v>
      </c>
      <c r="N12" s="139">
        <v>1500</v>
      </c>
      <c r="O12" s="139">
        <v>2125</v>
      </c>
      <c r="P12" s="141">
        <f t="shared" si="0"/>
        <v>3.1875</v>
      </c>
      <c r="Q12" s="141"/>
      <c r="R12" s="141"/>
      <c r="S12" s="141">
        <v>26.7</v>
      </c>
      <c r="T12" s="141">
        <v>3.3</v>
      </c>
      <c r="U12" s="141">
        <f t="shared" si="1"/>
        <v>84.922499999999999</v>
      </c>
      <c r="V12" s="141"/>
      <c r="W12" s="141"/>
      <c r="X12" s="141"/>
      <c r="Y12" s="141"/>
    </row>
    <row r="13" spans="1:25" ht="30" customHeight="1" x14ac:dyDescent="0.25">
      <c r="A13" s="139" t="s">
        <v>277</v>
      </c>
      <c r="B13" s="139" t="s">
        <v>361</v>
      </c>
      <c r="C13" s="139" t="s">
        <v>1572</v>
      </c>
      <c r="D13" s="139" t="s">
        <v>80</v>
      </c>
      <c r="E13" s="190">
        <v>45.6</v>
      </c>
      <c r="F13" s="139" t="s">
        <v>4</v>
      </c>
      <c r="G13" s="6" t="s">
        <v>229</v>
      </c>
      <c r="H13" s="181"/>
      <c r="I13" s="6"/>
      <c r="J13" s="6" t="s">
        <v>194</v>
      </c>
      <c r="K13" s="21"/>
      <c r="L13" s="139" t="s">
        <v>6</v>
      </c>
      <c r="M13" s="139" t="s">
        <v>7</v>
      </c>
      <c r="N13" s="139">
        <v>1500</v>
      </c>
      <c r="O13" s="139">
        <v>2125</v>
      </c>
      <c r="P13" s="141">
        <f t="shared" si="0"/>
        <v>3.1875</v>
      </c>
      <c r="Q13" s="141"/>
      <c r="R13" s="141"/>
      <c r="S13" s="141">
        <v>27.3</v>
      </c>
      <c r="T13" s="141">
        <v>3.3</v>
      </c>
      <c r="U13" s="141">
        <f t="shared" si="1"/>
        <v>86.902500000000003</v>
      </c>
      <c r="V13" s="141"/>
      <c r="W13" s="141"/>
      <c r="X13" s="141"/>
      <c r="Y13" s="141"/>
    </row>
    <row r="14" spans="1:25" ht="30" customHeight="1" x14ac:dyDescent="0.25">
      <c r="A14" s="1" t="s">
        <v>277</v>
      </c>
      <c r="B14" s="1" t="s">
        <v>278</v>
      </c>
      <c r="C14" s="1" t="s">
        <v>1573</v>
      </c>
      <c r="D14" s="1" t="s">
        <v>1574</v>
      </c>
      <c r="E14" s="29">
        <v>8.1999999999999993</v>
      </c>
      <c r="F14" s="1" t="s">
        <v>4</v>
      </c>
      <c r="G14" s="6" t="s">
        <v>229</v>
      </c>
      <c r="H14" s="181"/>
      <c r="I14" s="6"/>
      <c r="J14" s="6" t="s">
        <v>194</v>
      </c>
      <c r="K14" s="21"/>
      <c r="L14" s="1" t="s">
        <v>583</v>
      </c>
      <c r="M14" s="1" t="s">
        <v>7</v>
      </c>
      <c r="N14" s="1">
        <v>875</v>
      </c>
      <c r="O14" s="1">
        <v>2125</v>
      </c>
      <c r="P14" s="30">
        <f t="shared" si="0"/>
        <v>1.859375</v>
      </c>
      <c r="Q14" s="30"/>
      <c r="R14" s="30"/>
      <c r="S14" s="30">
        <v>11.6</v>
      </c>
      <c r="T14" s="30">
        <v>2.4</v>
      </c>
      <c r="U14" s="30">
        <f t="shared" si="1"/>
        <v>25.980625</v>
      </c>
      <c r="V14" s="30"/>
      <c r="W14" s="30"/>
      <c r="X14" s="30"/>
      <c r="Y14" s="30"/>
    </row>
    <row r="15" spans="1:25" ht="30" customHeight="1" x14ac:dyDescent="0.25">
      <c r="A15" s="1" t="s">
        <v>277</v>
      </c>
      <c r="B15" s="1" t="s">
        <v>228</v>
      </c>
      <c r="C15" s="1" t="s">
        <v>1575</v>
      </c>
      <c r="D15" s="1" t="s">
        <v>1576</v>
      </c>
      <c r="E15" s="29">
        <v>47.1</v>
      </c>
      <c r="F15" s="1" t="s">
        <v>4</v>
      </c>
      <c r="G15" s="6" t="s">
        <v>229</v>
      </c>
      <c r="H15" s="181"/>
      <c r="I15" s="6"/>
      <c r="J15" s="6" t="s">
        <v>194</v>
      </c>
      <c r="K15" s="21"/>
      <c r="L15" s="1" t="s">
        <v>583</v>
      </c>
      <c r="M15" s="1" t="s">
        <v>7</v>
      </c>
      <c r="N15" s="1">
        <v>1500</v>
      </c>
      <c r="O15" s="1">
        <v>2125</v>
      </c>
      <c r="P15" s="30">
        <f t="shared" si="0"/>
        <v>3.1875</v>
      </c>
      <c r="Q15" s="30">
        <v>1.44</v>
      </c>
      <c r="R15" s="30"/>
      <c r="S15" s="30">
        <v>27.55</v>
      </c>
      <c r="T15" s="30">
        <v>3.3</v>
      </c>
      <c r="U15" s="30">
        <f>S15*T15-P15-Q15</f>
        <v>86.287499999999994</v>
      </c>
      <c r="V15" s="30"/>
      <c r="W15" s="30"/>
      <c r="X15" s="30"/>
      <c r="Y15" s="30"/>
    </row>
    <row r="16" spans="1:25" s="284" customFormat="1" ht="17.25" x14ac:dyDescent="0.25">
      <c r="A16" s="282"/>
      <c r="B16" s="283" t="s">
        <v>1551</v>
      </c>
      <c r="C16" s="282"/>
      <c r="E16" s="286">
        <f>SUM(E5:E15)</f>
        <v>352.6</v>
      </c>
      <c r="F16" s="281" t="s">
        <v>1560</v>
      </c>
      <c r="H16" s="14"/>
    </row>
    <row r="17" spans="1:28" s="15" customFormat="1" ht="30" x14ac:dyDescent="0.25">
      <c r="A17" s="1" t="s">
        <v>0</v>
      </c>
      <c r="B17" s="1" t="s">
        <v>278</v>
      </c>
      <c r="C17" s="1" t="s">
        <v>1577</v>
      </c>
      <c r="D17" s="28" t="s">
        <v>75</v>
      </c>
      <c r="E17" s="29">
        <v>2.2000000000000002</v>
      </c>
      <c r="F17" s="1" t="s">
        <v>4</v>
      </c>
      <c r="G17" s="5" t="s">
        <v>5</v>
      </c>
      <c r="H17" s="181" t="s">
        <v>738</v>
      </c>
      <c r="I17" s="6"/>
      <c r="J17" s="6" t="s">
        <v>194</v>
      </c>
      <c r="K17" s="5" t="s">
        <v>1448</v>
      </c>
      <c r="L17" s="6" t="s">
        <v>6</v>
      </c>
      <c r="M17" s="6" t="s">
        <v>7</v>
      </c>
      <c r="N17" s="31">
        <v>875</v>
      </c>
      <c r="O17" s="31">
        <v>2125</v>
      </c>
      <c r="P17" s="16">
        <f t="shared" ref="P17:P18" si="2">N17*O17*0.000001</f>
        <v>1.859375</v>
      </c>
      <c r="Q17" s="12"/>
      <c r="R17" s="12"/>
      <c r="S17" s="13">
        <v>6.64</v>
      </c>
      <c r="T17" s="12">
        <v>2.6</v>
      </c>
      <c r="U17" s="13"/>
      <c r="V17" s="152">
        <f>S17*T17-P17-Q17-X17-Y17</f>
        <v>15.404624999999999</v>
      </c>
      <c r="W17" s="12"/>
      <c r="X17" s="13"/>
      <c r="Y17" s="12"/>
      <c r="Z17"/>
      <c r="AA17"/>
      <c r="AB17"/>
    </row>
    <row r="18" spans="1:28" s="48" customFormat="1" ht="30" x14ac:dyDescent="0.25">
      <c r="A18" s="1" t="s">
        <v>0</v>
      </c>
      <c r="B18" s="1" t="s">
        <v>1</v>
      </c>
      <c r="C18" s="1" t="s">
        <v>1578</v>
      </c>
      <c r="D18" s="28" t="s">
        <v>1579</v>
      </c>
      <c r="E18" s="29">
        <v>16.399999999999999</v>
      </c>
      <c r="F18" s="1" t="s">
        <v>4</v>
      </c>
      <c r="G18" s="5" t="s">
        <v>77</v>
      </c>
      <c r="H18" s="181" t="s">
        <v>738</v>
      </c>
      <c r="I18" s="6"/>
      <c r="J18" s="6" t="s">
        <v>194</v>
      </c>
      <c r="K18" s="5" t="s">
        <v>1448</v>
      </c>
      <c r="L18" s="6" t="s">
        <v>6</v>
      </c>
      <c r="M18" s="6" t="s">
        <v>7</v>
      </c>
      <c r="N18" s="31">
        <v>3700</v>
      </c>
      <c r="O18" s="31">
        <v>2100</v>
      </c>
      <c r="P18" s="16">
        <f t="shared" si="2"/>
        <v>7.77</v>
      </c>
      <c r="Q18" s="12"/>
      <c r="R18" s="12"/>
      <c r="S18" s="13">
        <v>18.100000000000001</v>
      </c>
      <c r="T18" s="12">
        <v>2.6</v>
      </c>
      <c r="U18" s="16">
        <f>S18*T18-P18-Q18-X18-Y18</f>
        <v>39.290000000000006</v>
      </c>
      <c r="V18" s="12"/>
      <c r="W18" s="12"/>
      <c r="X18" s="13"/>
      <c r="Y18" s="12"/>
    </row>
    <row r="19" spans="1:28" s="284" customFormat="1" ht="17.25" x14ac:dyDescent="0.25">
      <c r="B19" s="280" t="s">
        <v>1552</v>
      </c>
      <c r="E19" s="286">
        <f>SUM(E17:E18)</f>
        <v>18.599999999999998</v>
      </c>
      <c r="F19" s="281" t="s">
        <v>1560</v>
      </c>
      <c r="H19" s="14"/>
    </row>
    <row r="20" spans="1:28" ht="30" x14ac:dyDescent="0.25">
      <c r="A20" s="1" t="s">
        <v>139</v>
      </c>
      <c r="B20" s="1" t="s">
        <v>278</v>
      </c>
      <c r="C20" s="1" t="s">
        <v>1580</v>
      </c>
      <c r="D20" s="1" t="s">
        <v>75</v>
      </c>
      <c r="E20" s="29">
        <v>7.2</v>
      </c>
      <c r="F20" s="1" t="s">
        <v>4</v>
      </c>
      <c r="G20" s="6" t="s">
        <v>5</v>
      </c>
      <c r="H20" s="181" t="s">
        <v>738</v>
      </c>
      <c r="I20" s="5"/>
      <c r="J20" s="6" t="s">
        <v>194</v>
      </c>
      <c r="K20" s="5" t="s">
        <v>1448</v>
      </c>
      <c r="L20" s="12" t="s">
        <v>6</v>
      </c>
      <c r="M20" s="12" t="s">
        <v>7</v>
      </c>
      <c r="N20" s="150">
        <v>900</v>
      </c>
      <c r="O20" s="6">
        <v>2125</v>
      </c>
      <c r="P20" s="35">
        <f t="shared" ref="P20" si="3">N20*O20*0.000001</f>
        <v>1.9124999999999999</v>
      </c>
      <c r="Q20" s="13"/>
      <c r="R20" s="12"/>
      <c r="S20" s="13">
        <v>12.05</v>
      </c>
      <c r="T20" s="12">
        <v>2.6</v>
      </c>
      <c r="U20" s="16">
        <f>S20*T20-P20-Q20-X20-Y20</f>
        <v>27.177500000000002</v>
      </c>
      <c r="V20" s="12"/>
      <c r="W20" s="12"/>
      <c r="X20" s="13">
        <v>2.2400000000000002</v>
      </c>
      <c r="Y20" s="13"/>
    </row>
    <row r="21" spans="1:28" s="284" customFormat="1" ht="17.25" x14ac:dyDescent="0.25">
      <c r="B21" s="280" t="s">
        <v>1553</v>
      </c>
      <c r="E21" s="286">
        <f>E20</f>
        <v>7.2</v>
      </c>
      <c r="F21" s="281" t="s">
        <v>1560</v>
      </c>
      <c r="H21" s="14"/>
    </row>
    <row r="22" spans="1:28" s="149" customFormat="1" ht="30" x14ac:dyDescent="0.25">
      <c r="A22" s="151" t="s">
        <v>160</v>
      </c>
      <c r="B22" s="151" t="s">
        <v>278</v>
      </c>
      <c r="C22" s="151" t="s">
        <v>1581</v>
      </c>
      <c r="D22" s="151" t="s">
        <v>75</v>
      </c>
      <c r="E22" s="266">
        <v>2.5</v>
      </c>
      <c r="F22" s="151" t="s">
        <v>4</v>
      </c>
      <c r="G22" s="6" t="s">
        <v>5</v>
      </c>
      <c r="H22" s="181" t="s">
        <v>738</v>
      </c>
      <c r="I22" s="6"/>
      <c r="J22" s="6" t="s">
        <v>194</v>
      </c>
      <c r="K22" s="5" t="s">
        <v>1448</v>
      </c>
      <c r="L22" s="12" t="s">
        <v>81</v>
      </c>
      <c r="M22" s="6" t="s">
        <v>7</v>
      </c>
      <c r="N22" s="150">
        <v>900</v>
      </c>
      <c r="O22" s="6">
        <v>2125</v>
      </c>
      <c r="P22" s="35">
        <f t="shared" ref="P22" si="4">N22*O22*0.000001</f>
        <v>1.9124999999999999</v>
      </c>
      <c r="Q22" s="12"/>
      <c r="R22" s="12"/>
      <c r="S22" s="13">
        <v>6.64</v>
      </c>
      <c r="T22" s="12">
        <v>2.6</v>
      </c>
      <c r="U22" s="12"/>
      <c r="V22" s="12">
        <f>S22*T22-P22-Q22-X22-Y22</f>
        <v>11.8515</v>
      </c>
      <c r="W22" s="12"/>
      <c r="X22" s="12">
        <v>3.5</v>
      </c>
      <c r="Y22" s="12"/>
      <c r="Z22"/>
      <c r="AA22"/>
      <c r="AB22"/>
    </row>
    <row r="23" spans="1:28" s="284" customFormat="1" ht="17.25" x14ac:dyDescent="0.25">
      <c r="B23" s="280" t="s">
        <v>1559</v>
      </c>
      <c r="E23" s="286">
        <f>E22</f>
        <v>2.5</v>
      </c>
      <c r="F23" s="281" t="s">
        <v>1560</v>
      </c>
      <c r="H23" s="14"/>
    </row>
    <row r="24" spans="1:28" ht="30" x14ac:dyDescent="0.25">
      <c r="A24" s="151" t="s">
        <v>230</v>
      </c>
      <c r="B24" s="151" t="s">
        <v>278</v>
      </c>
      <c r="C24" s="151" t="s">
        <v>1582</v>
      </c>
      <c r="D24" s="151" t="s">
        <v>75</v>
      </c>
      <c r="E24" s="266">
        <v>2.5</v>
      </c>
      <c r="F24" s="151" t="s">
        <v>4</v>
      </c>
      <c r="G24" s="6" t="s">
        <v>5</v>
      </c>
      <c r="H24" s="181" t="s">
        <v>738</v>
      </c>
      <c r="I24" s="6"/>
      <c r="J24" s="6" t="s">
        <v>194</v>
      </c>
      <c r="K24" s="5" t="s">
        <v>1448</v>
      </c>
      <c r="L24" s="12" t="s">
        <v>6</v>
      </c>
      <c r="M24" s="6" t="s">
        <v>7</v>
      </c>
      <c r="N24" s="6">
        <v>875</v>
      </c>
      <c r="O24" s="6">
        <v>2125</v>
      </c>
      <c r="P24" s="35">
        <f t="shared" ref="P24" si="5">N24*O24*0.000001</f>
        <v>1.859375</v>
      </c>
      <c r="Q24" s="12"/>
      <c r="R24" s="12"/>
      <c r="S24" s="12">
        <v>6.64</v>
      </c>
      <c r="T24" s="12">
        <v>2.6</v>
      </c>
      <c r="U24" s="12"/>
      <c r="V24" s="12">
        <f>S24*T24-P24-Q24-X24-Y24</f>
        <v>11.904624999999999</v>
      </c>
      <c r="W24" s="12"/>
      <c r="X24" s="12">
        <v>3.5</v>
      </c>
      <c r="Y24" s="12"/>
    </row>
    <row r="25" spans="1:28" s="284" customFormat="1" ht="17.25" x14ac:dyDescent="0.25">
      <c r="B25" s="280" t="s">
        <v>1558</v>
      </c>
      <c r="E25" s="286">
        <f>E24</f>
        <v>2.5</v>
      </c>
      <c r="F25" s="281" t="s">
        <v>1560</v>
      </c>
      <c r="H25" s="14"/>
    </row>
    <row r="26" spans="1:28" ht="30" x14ac:dyDescent="0.25">
      <c r="A26" s="151" t="s">
        <v>748</v>
      </c>
      <c r="B26" s="151" t="s">
        <v>278</v>
      </c>
      <c r="C26" s="151" t="s">
        <v>1583</v>
      </c>
      <c r="D26" s="151" t="s">
        <v>75</v>
      </c>
      <c r="E26" s="266">
        <v>2.5</v>
      </c>
      <c r="F26" s="151" t="s">
        <v>4</v>
      </c>
      <c r="G26" s="5" t="s">
        <v>5</v>
      </c>
      <c r="H26" s="181" t="s">
        <v>738</v>
      </c>
      <c r="I26" s="5"/>
      <c r="J26" s="5" t="s">
        <v>194</v>
      </c>
      <c r="K26" s="5" t="s">
        <v>1448</v>
      </c>
      <c r="L26" s="12" t="s">
        <v>6</v>
      </c>
      <c r="M26" s="6" t="s">
        <v>7</v>
      </c>
      <c r="N26" s="150">
        <v>900</v>
      </c>
      <c r="O26" s="6">
        <v>2125</v>
      </c>
      <c r="P26" s="35">
        <f t="shared" ref="P26" si="6">N26*O26*0.000001</f>
        <v>1.9124999999999999</v>
      </c>
      <c r="Q26" s="12"/>
      <c r="R26" s="12"/>
      <c r="S26" s="12">
        <v>6.64</v>
      </c>
      <c r="T26" s="12">
        <v>2.6</v>
      </c>
      <c r="U26" s="152"/>
      <c r="V26" s="152">
        <f>S26*T26-P26-Q26-X26-Y26</f>
        <v>11.7415</v>
      </c>
      <c r="W26" s="152"/>
      <c r="X26" s="152">
        <v>3.61</v>
      </c>
      <c r="Y26" s="12"/>
    </row>
    <row r="27" spans="1:28" s="284" customFormat="1" ht="17.25" x14ac:dyDescent="0.25">
      <c r="B27" s="280" t="s">
        <v>1557</v>
      </c>
      <c r="E27" s="286">
        <f>E26</f>
        <v>2.5</v>
      </c>
      <c r="F27" s="281" t="s">
        <v>1560</v>
      </c>
      <c r="H27" s="14"/>
    </row>
    <row r="28" spans="1:28" ht="30" x14ac:dyDescent="0.25">
      <c r="A28" s="151" t="s">
        <v>1290</v>
      </c>
      <c r="B28" s="151" t="s">
        <v>278</v>
      </c>
      <c r="C28" s="151" t="s">
        <v>1584</v>
      </c>
      <c r="D28" s="151" t="s">
        <v>75</v>
      </c>
      <c r="E28" s="266">
        <v>2.5</v>
      </c>
      <c r="F28" s="151" t="s">
        <v>4</v>
      </c>
      <c r="G28" s="5" t="s">
        <v>5</v>
      </c>
      <c r="H28" s="181" t="s">
        <v>738</v>
      </c>
      <c r="I28" s="5"/>
      <c r="J28" s="5" t="s">
        <v>194</v>
      </c>
      <c r="K28" s="5" t="s">
        <v>1448</v>
      </c>
      <c r="L28" s="179" t="s">
        <v>6</v>
      </c>
      <c r="M28" s="179" t="s">
        <v>7</v>
      </c>
      <c r="N28" s="150">
        <v>900</v>
      </c>
      <c r="O28" s="150">
        <v>2125</v>
      </c>
      <c r="P28" s="152">
        <f t="shared" ref="P28" si="7">N28*O28*0.000001</f>
        <v>1.9124999999999999</v>
      </c>
      <c r="Q28" s="12"/>
      <c r="R28" s="12"/>
      <c r="S28" s="152">
        <v>6.64</v>
      </c>
      <c r="T28" s="152">
        <v>2.6</v>
      </c>
      <c r="U28" s="152"/>
      <c r="V28" s="152"/>
      <c r="W28" s="152"/>
      <c r="X28" s="152">
        <f>S28*T28-P28</f>
        <v>15.3515</v>
      </c>
      <c r="Y28" s="12"/>
    </row>
    <row r="29" spans="1:28" ht="17.25" x14ac:dyDescent="0.25">
      <c r="B29" s="280" t="s">
        <v>1556</v>
      </c>
      <c r="C29" s="284"/>
      <c r="D29" s="284"/>
      <c r="E29" s="286">
        <f>E28</f>
        <v>2.5</v>
      </c>
      <c r="F29" s="281" t="s">
        <v>1560</v>
      </c>
      <c r="H29" s="14"/>
    </row>
    <row r="30" spans="1:28" ht="30" x14ac:dyDescent="0.25">
      <c r="A30" s="151" t="s">
        <v>1539</v>
      </c>
      <c r="B30" s="151" t="s">
        <v>278</v>
      </c>
      <c r="C30" s="151" t="s">
        <v>1585</v>
      </c>
      <c r="D30" s="151" t="s">
        <v>75</v>
      </c>
      <c r="E30" s="266">
        <v>2.9</v>
      </c>
      <c r="F30" s="151" t="s">
        <v>4</v>
      </c>
      <c r="G30" s="6" t="s">
        <v>5</v>
      </c>
      <c r="H30" s="181" t="s">
        <v>738</v>
      </c>
      <c r="I30" s="6"/>
      <c r="J30" s="6" t="s">
        <v>194</v>
      </c>
      <c r="K30" s="5" t="s">
        <v>1448</v>
      </c>
      <c r="L30" s="179" t="s">
        <v>6</v>
      </c>
      <c r="M30" s="6" t="s">
        <v>7</v>
      </c>
      <c r="N30" s="150">
        <v>900</v>
      </c>
      <c r="O30" s="150">
        <v>2125</v>
      </c>
      <c r="P30" s="35">
        <f t="shared" ref="P30" si="8">N30*O30*0.000001</f>
        <v>1.9124999999999999</v>
      </c>
      <c r="Q30" s="12"/>
      <c r="R30" s="12"/>
      <c r="S30" s="12">
        <v>7.36</v>
      </c>
      <c r="T30" s="12">
        <v>2.4</v>
      </c>
      <c r="U30" s="12">
        <f>S30*T30-X30-Q30-P30</f>
        <v>13.441500000000001</v>
      </c>
      <c r="V30" s="12"/>
      <c r="W30" s="12"/>
      <c r="X30" s="12">
        <v>2.31</v>
      </c>
      <c r="Y30" s="12"/>
    </row>
    <row r="31" spans="1:28" ht="17.25" x14ac:dyDescent="0.25">
      <c r="B31" s="280" t="s">
        <v>1555</v>
      </c>
      <c r="C31" s="284"/>
      <c r="D31" s="284"/>
      <c r="E31" s="286">
        <f>E30</f>
        <v>2.9</v>
      </c>
      <c r="F31" s="281" t="s">
        <v>1560</v>
      </c>
      <c r="H31" s="14"/>
    </row>
    <row r="32" spans="1:28" ht="17.25" x14ac:dyDescent="0.25">
      <c r="C32" s="280" t="s">
        <v>1550</v>
      </c>
      <c r="E32" s="286">
        <f>E16+E19+E21+E23+E25+E27+E29+E31</f>
        <v>391.3</v>
      </c>
      <c r="F32" s="281" t="s">
        <v>1560</v>
      </c>
      <c r="H32" s="14"/>
    </row>
    <row r="34" spans="3:6" x14ac:dyDescent="0.25">
      <c r="C34" s="278" t="s">
        <v>1807</v>
      </c>
      <c r="D34" s="342"/>
      <c r="E34" s="358"/>
      <c r="F34" s="65"/>
    </row>
    <row r="35" spans="3:6" ht="17.25" x14ac:dyDescent="0.25">
      <c r="C35" s="65"/>
      <c r="D35" s="358" t="s">
        <v>1808</v>
      </c>
      <c r="E35" s="345">
        <f>SUM(E5:E8)+E17+E20+E22+E24+E26+E28</f>
        <v>104.1</v>
      </c>
      <c r="F35" s="342" t="s">
        <v>1560</v>
      </c>
    </row>
    <row r="36" spans="3:6" ht="17.25" x14ac:dyDescent="0.25">
      <c r="C36" s="65"/>
      <c r="D36" s="358" t="s">
        <v>37</v>
      </c>
      <c r="E36" s="345">
        <f>0</f>
        <v>0</v>
      </c>
      <c r="F36" s="342" t="s">
        <v>1560</v>
      </c>
    </row>
    <row r="37" spans="3:6" ht="17.25" x14ac:dyDescent="0.25">
      <c r="C37" s="65"/>
      <c r="D37" s="358" t="s">
        <v>77</v>
      </c>
      <c r="E37" s="345">
        <f>E9+E18+E30</f>
        <v>56.5</v>
      </c>
      <c r="F37" s="342" t="s">
        <v>1560</v>
      </c>
    </row>
    <row r="38" spans="3:6" ht="17.25" x14ac:dyDescent="0.25">
      <c r="C38" s="65"/>
      <c r="D38" s="358" t="s">
        <v>229</v>
      </c>
      <c r="E38" s="345">
        <f>SUM(E10:E15)</f>
        <v>230.7</v>
      </c>
      <c r="F38" s="342" t="s">
        <v>1560</v>
      </c>
    </row>
    <row r="39" spans="3:6" ht="17.25" x14ac:dyDescent="0.25">
      <c r="C39" s="65"/>
      <c r="D39" s="359" t="s">
        <v>274</v>
      </c>
      <c r="E39" s="345">
        <f>SUM(E35:E38)</f>
        <v>391.29999999999995</v>
      </c>
      <c r="F39" s="342" t="s">
        <v>1560</v>
      </c>
    </row>
    <row r="41" spans="3:6" x14ac:dyDescent="0.25">
      <c r="C41" s="278" t="s">
        <v>1995</v>
      </c>
      <c r="D41" s="15"/>
    </row>
    <row r="42" spans="3:6" x14ac:dyDescent="0.25">
      <c r="C42" s="504"/>
      <c r="D42" s="305"/>
      <c r="E42" s="503" t="s">
        <v>1996</v>
      </c>
    </row>
    <row r="43" spans="3:6" x14ac:dyDescent="0.25">
      <c r="C43" s="284" t="s">
        <v>2082</v>
      </c>
      <c r="D43" s="305"/>
    </row>
    <row r="44" spans="3:6" x14ac:dyDescent="0.25">
      <c r="C44" s="278" t="s">
        <v>2006</v>
      </c>
    </row>
  </sheetData>
  <sheetProtection password="87E5" sheet="1" objects="1" scenarios="1"/>
  <mergeCells count="22">
    <mergeCell ref="L1:L4"/>
    <mergeCell ref="A1:F3"/>
    <mergeCell ref="G1:G4"/>
    <mergeCell ref="I1:I4"/>
    <mergeCell ref="J1:J4"/>
    <mergeCell ref="K1:K4"/>
    <mergeCell ref="E4:F4"/>
    <mergeCell ref="H1:H4"/>
    <mergeCell ref="Y1:Y4"/>
    <mergeCell ref="M1:O4"/>
    <mergeCell ref="P1:P4"/>
    <mergeCell ref="Q1:Q4"/>
    <mergeCell ref="R1:R4"/>
    <mergeCell ref="X3:X4"/>
    <mergeCell ref="U2:V2"/>
    <mergeCell ref="W2:X2"/>
    <mergeCell ref="S1:S4"/>
    <mergeCell ref="T1:T4"/>
    <mergeCell ref="U3:U4"/>
    <mergeCell ref="V3:V4"/>
    <mergeCell ref="W3:W4"/>
    <mergeCell ref="U1:X1"/>
  </mergeCells>
  <dataValidations count="1">
    <dataValidation type="list" allowBlank="1" showInputMessage="1" showErrorMessage="1" sqref="G30:H30 G28:H28 G26:H26 G24:H24 G5:H15 G17:H18 H20 G22:H22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62" fitToHeight="0" orientation="landscape" r:id="rId1"/>
  <headerFooter>
    <oddFooter>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="90" zoomScaleNormal="90" workbookViewId="0">
      <pane ySplit="4" topLeftCell="A20" activePane="bottomLeft" state="frozen"/>
      <selection pane="bottomLeft" activeCell="C43" sqref="C43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2.7109375" customWidth="1"/>
    <col min="5" max="5" width="8.7109375" style="250" bestFit="1" customWidth="1"/>
    <col min="6" max="6" width="4.140625" customWidth="1"/>
    <col min="7" max="7" width="11" customWidth="1"/>
    <col min="8" max="8" width="14.42578125" customWidth="1"/>
    <col min="9" max="10" width="11.42578125" customWidth="1"/>
    <col min="11" max="11" width="22.7109375" customWidth="1"/>
    <col min="12" max="12" width="10.140625" customWidth="1"/>
    <col min="13" max="19" width="9.140625" customWidth="1"/>
    <col min="20" max="20" width="7.5703125" customWidth="1"/>
    <col min="21" max="21" width="7.85546875" customWidth="1"/>
    <col min="22" max="22" width="5.85546875" customWidth="1"/>
    <col min="23" max="23" width="8.7109375" customWidth="1"/>
    <col min="24" max="24" width="8.140625" customWidth="1"/>
    <col min="25" max="25" width="9.140625" customWidth="1"/>
  </cols>
  <sheetData>
    <row r="1" spans="1:29" ht="15" customHeight="1" x14ac:dyDescent="0.25">
      <c r="A1" s="642" t="s">
        <v>1619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700" t="s">
        <v>119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29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701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9" s="163" customFormat="1" ht="29.2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701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9" ht="15.75" thickBot="1" x14ac:dyDescent="0.3">
      <c r="A4" s="211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702"/>
      <c r="S4" s="655"/>
      <c r="T4" s="655"/>
      <c r="U4" s="655"/>
      <c r="V4" s="655"/>
      <c r="W4" s="655"/>
      <c r="X4" s="655"/>
      <c r="Y4" s="695"/>
    </row>
    <row r="5" spans="1:29" x14ac:dyDescent="0.25">
      <c r="A5" s="177" t="s">
        <v>277</v>
      </c>
      <c r="B5" s="177" t="s">
        <v>361</v>
      </c>
      <c r="C5" s="177" t="s">
        <v>1590</v>
      </c>
      <c r="D5" s="177" t="s">
        <v>79</v>
      </c>
      <c r="E5" s="194">
        <v>155.69999999999999</v>
      </c>
      <c r="F5" s="177" t="s">
        <v>4</v>
      </c>
      <c r="G5" s="23" t="s">
        <v>229</v>
      </c>
      <c r="H5" s="180"/>
      <c r="I5" s="22"/>
      <c r="J5" s="22"/>
      <c r="K5" s="22"/>
      <c r="L5" s="177" t="s">
        <v>6</v>
      </c>
      <c r="M5" s="177" t="s">
        <v>7</v>
      </c>
      <c r="N5" s="177">
        <v>1500</v>
      </c>
      <c r="O5" s="177">
        <v>2125</v>
      </c>
      <c r="P5" s="140">
        <f t="shared" ref="P5:P9" si="0">N5*O5*0.000001</f>
        <v>3.1875</v>
      </c>
      <c r="Q5" s="140">
        <v>1.44</v>
      </c>
      <c r="R5" s="140">
        <v>0.72</v>
      </c>
      <c r="S5" s="140">
        <v>53.65</v>
      </c>
      <c r="T5" s="140">
        <v>3.3</v>
      </c>
      <c r="U5" s="140">
        <f>S5*T5-P5-Q5</f>
        <v>172.41749999999999</v>
      </c>
      <c r="V5" s="140"/>
      <c r="W5" s="140"/>
      <c r="X5" s="140"/>
      <c r="Y5" s="140"/>
    </row>
    <row r="6" spans="1:29" x14ac:dyDescent="0.25">
      <c r="A6" s="139" t="s">
        <v>277</v>
      </c>
      <c r="B6" s="139" t="s">
        <v>228</v>
      </c>
      <c r="C6" s="139" t="s">
        <v>1591</v>
      </c>
      <c r="D6" s="139" t="s">
        <v>1592</v>
      </c>
      <c r="E6" s="190">
        <v>211.3</v>
      </c>
      <c r="F6" s="139" t="s">
        <v>4</v>
      </c>
      <c r="G6" s="23" t="s">
        <v>229</v>
      </c>
      <c r="H6" s="180"/>
      <c r="I6" s="6"/>
      <c r="J6" s="6"/>
      <c r="K6" s="6"/>
      <c r="L6" s="139" t="s">
        <v>6</v>
      </c>
      <c r="M6" s="139" t="s">
        <v>7</v>
      </c>
      <c r="N6" s="139">
        <v>1500</v>
      </c>
      <c r="O6" s="139">
        <v>2125</v>
      </c>
      <c r="P6" s="141">
        <f t="shared" si="0"/>
        <v>3.1875</v>
      </c>
      <c r="Q6" s="141">
        <v>2.16</v>
      </c>
      <c r="R6" s="141">
        <v>0.72</v>
      </c>
      <c r="S6" s="141">
        <v>66.8</v>
      </c>
      <c r="T6" s="141">
        <v>3.3</v>
      </c>
      <c r="U6" s="141">
        <f>S6*T6-P6-Q6</f>
        <v>215.09249999999997</v>
      </c>
      <c r="V6" s="141"/>
      <c r="W6" s="141"/>
      <c r="X6" s="141"/>
      <c r="Y6" s="141"/>
    </row>
    <row r="7" spans="1:29" x14ac:dyDescent="0.25">
      <c r="A7" s="139" t="s">
        <v>277</v>
      </c>
      <c r="B7" s="139" t="s">
        <v>228</v>
      </c>
      <c r="C7" s="139" t="s">
        <v>1593</v>
      </c>
      <c r="D7" s="139" t="s">
        <v>1594</v>
      </c>
      <c r="E7" s="190">
        <v>28.9</v>
      </c>
      <c r="F7" s="139" t="s">
        <v>4</v>
      </c>
      <c r="G7" s="23" t="s">
        <v>229</v>
      </c>
      <c r="H7" s="180"/>
      <c r="I7" s="6"/>
      <c r="J7" s="6"/>
      <c r="K7" s="6"/>
      <c r="L7" s="139" t="s">
        <v>6</v>
      </c>
      <c r="M7" s="139" t="s">
        <v>7</v>
      </c>
      <c r="N7" s="139">
        <v>1500</v>
      </c>
      <c r="O7" s="139">
        <v>2125</v>
      </c>
      <c r="P7" s="141">
        <f t="shared" si="0"/>
        <v>3.1875</v>
      </c>
      <c r="Q7" s="141"/>
      <c r="R7" s="141"/>
      <c r="S7" s="141">
        <v>22.92</v>
      </c>
      <c r="T7" s="141">
        <v>3.3</v>
      </c>
      <c r="U7" s="141">
        <f>S7*T7-P7-Q7</f>
        <v>72.448499999999996</v>
      </c>
      <c r="V7" s="141"/>
      <c r="W7" s="141"/>
      <c r="X7" s="141"/>
      <c r="Y7" s="141"/>
    </row>
    <row r="8" spans="1:29" x14ac:dyDescent="0.25">
      <c r="A8" s="139" t="s">
        <v>277</v>
      </c>
      <c r="B8" s="139" t="s">
        <v>228</v>
      </c>
      <c r="C8" s="139" t="s">
        <v>1595</v>
      </c>
      <c r="D8" s="139" t="s">
        <v>1596</v>
      </c>
      <c r="E8" s="190">
        <v>39.4</v>
      </c>
      <c r="F8" s="139" t="s">
        <v>4</v>
      </c>
      <c r="G8" s="23" t="s">
        <v>229</v>
      </c>
      <c r="H8" s="180"/>
      <c r="I8" s="6"/>
      <c r="J8" s="6"/>
      <c r="K8" s="6"/>
      <c r="L8" s="139" t="s">
        <v>6</v>
      </c>
      <c r="M8" s="139" t="s">
        <v>7</v>
      </c>
      <c r="N8" s="139">
        <v>1500</v>
      </c>
      <c r="O8" s="139">
        <v>2125</v>
      </c>
      <c r="P8" s="141">
        <f t="shared" si="0"/>
        <v>3.1875</v>
      </c>
      <c r="Q8" s="141"/>
      <c r="R8" s="141"/>
      <c r="S8" s="141">
        <v>25.11</v>
      </c>
      <c r="T8" s="141">
        <v>3.3</v>
      </c>
      <c r="U8" s="141">
        <f>S8*T8-P8-Q8</f>
        <v>79.6755</v>
      </c>
      <c r="V8" s="141"/>
      <c r="W8" s="141"/>
      <c r="X8" s="141"/>
      <c r="Y8" s="141"/>
    </row>
    <row r="9" spans="1:29" x14ac:dyDescent="0.25">
      <c r="A9" s="139" t="s">
        <v>277</v>
      </c>
      <c r="B9" s="139" t="s">
        <v>228</v>
      </c>
      <c r="C9" s="139" t="s">
        <v>1597</v>
      </c>
      <c r="D9" s="139" t="s">
        <v>275</v>
      </c>
      <c r="E9" s="190">
        <v>15.4</v>
      </c>
      <c r="F9" s="139" t="s">
        <v>4</v>
      </c>
      <c r="G9" s="23" t="s">
        <v>229</v>
      </c>
      <c r="H9" s="180"/>
      <c r="I9" s="6"/>
      <c r="J9" s="6"/>
      <c r="K9" s="6"/>
      <c r="L9" s="139" t="s">
        <v>6</v>
      </c>
      <c r="M9" s="139" t="s">
        <v>7</v>
      </c>
      <c r="N9" s="139">
        <v>875</v>
      </c>
      <c r="O9" s="139">
        <v>2125</v>
      </c>
      <c r="P9" s="141">
        <f t="shared" si="0"/>
        <v>1.859375</v>
      </c>
      <c r="Q9" s="141"/>
      <c r="R9" s="141"/>
      <c r="S9" s="141">
        <v>17.309999999999999</v>
      </c>
      <c r="T9" s="141">
        <v>3.3</v>
      </c>
      <c r="U9" s="141">
        <f>S9*T9-P9-Q9</f>
        <v>55.26362499999999</v>
      </c>
      <c r="V9" s="141"/>
      <c r="W9" s="141"/>
      <c r="X9" s="141"/>
      <c r="Y9" s="141"/>
    </row>
    <row r="10" spans="1:29" s="287" customFormat="1" ht="17.25" x14ac:dyDescent="0.25">
      <c r="B10" s="280" t="s">
        <v>1551</v>
      </c>
      <c r="E10" s="288">
        <f>SUM(E5:E9)</f>
        <v>450.69999999999993</v>
      </c>
      <c r="F10" s="281" t="s">
        <v>1560</v>
      </c>
      <c r="G10" s="444"/>
      <c r="H10"/>
    </row>
    <row r="11" spans="1:29" s="15" customFormat="1" x14ac:dyDescent="0.25">
      <c r="A11" s="139" t="s">
        <v>0</v>
      </c>
      <c r="B11" s="139" t="s">
        <v>361</v>
      </c>
      <c r="C11" s="139" t="s">
        <v>1598</v>
      </c>
      <c r="D11" s="101" t="s">
        <v>1599</v>
      </c>
      <c r="E11" s="190">
        <v>11.7</v>
      </c>
      <c r="F11" s="139" t="s">
        <v>4</v>
      </c>
      <c r="G11" s="7" t="s">
        <v>229</v>
      </c>
      <c r="H11" s="181"/>
      <c r="I11" s="6"/>
      <c r="J11" s="6"/>
      <c r="K11" s="5"/>
      <c r="L11" s="6" t="s">
        <v>6</v>
      </c>
      <c r="M11" s="6" t="s">
        <v>7</v>
      </c>
      <c r="N11" s="31">
        <v>1500</v>
      </c>
      <c r="O11" s="31">
        <v>3000</v>
      </c>
      <c r="P11" s="16">
        <f t="shared" ref="P11:P17" si="1">N11*O11*0.000001</f>
        <v>4.5</v>
      </c>
      <c r="Q11" s="6"/>
      <c r="R11" s="6"/>
      <c r="S11" s="162">
        <v>13.81</v>
      </c>
      <c r="T11" s="6">
        <v>3.55</v>
      </c>
      <c r="U11" s="16">
        <f t="shared" ref="U11:U17" si="2">S11*T11-P11-Q11-X11-Y11</f>
        <v>44.525500000000001</v>
      </c>
      <c r="V11" s="6"/>
      <c r="W11" s="6"/>
      <c r="X11" s="162"/>
      <c r="Y11" s="6"/>
      <c r="Z11"/>
      <c r="AA11"/>
      <c r="AB11"/>
      <c r="AC11"/>
    </row>
    <row r="12" spans="1:29" s="15" customFormat="1" x14ac:dyDescent="0.25">
      <c r="A12" s="139" t="s">
        <v>0</v>
      </c>
      <c r="B12" s="139" t="s">
        <v>361</v>
      </c>
      <c r="C12" s="139" t="s">
        <v>1600</v>
      </c>
      <c r="D12" s="101" t="s">
        <v>276</v>
      </c>
      <c r="E12" s="190">
        <v>11.7</v>
      </c>
      <c r="F12" s="139" t="s">
        <v>4</v>
      </c>
      <c r="G12" s="23" t="s">
        <v>229</v>
      </c>
      <c r="H12" s="180"/>
      <c r="I12" s="6"/>
      <c r="J12" s="6"/>
      <c r="K12" s="5"/>
      <c r="L12" s="6" t="s">
        <v>6</v>
      </c>
      <c r="M12" s="6" t="s">
        <v>7</v>
      </c>
      <c r="N12" s="31">
        <v>1500</v>
      </c>
      <c r="O12" s="31">
        <v>3000</v>
      </c>
      <c r="P12" s="16">
        <f t="shared" si="1"/>
        <v>4.5</v>
      </c>
      <c r="Q12" s="12"/>
      <c r="R12" s="12"/>
      <c r="S12" s="13">
        <v>13.81</v>
      </c>
      <c r="T12" s="12">
        <v>3.55</v>
      </c>
      <c r="U12" s="16">
        <f t="shared" si="2"/>
        <v>44.525500000000001</v>
      </c>
      <c r="V12" s="12"/>
      <c r="W12" s="12"/>
      <c r="X12" s="13"/>
      <c r="Y12" s="12"/>
      <c r="Z12"/>
      <c r="AA12"/>
      <c r="AB12"/>
      <c r="AC12"/>
    </row>
    <row r="13" spans="1:29" s="15" customFormat="1" x14ac:dyDescent="0.25">
      <c r="A13" s="139" t="s">
        <v>0</v>
      </c>
      <c r="B13" s="139" t="s">
        <v>228</v>
      </c>
      <c r="C13" s="139" t="s">
        <v>1601</v>
      </c>
      <c r="D13" s="101" t="s">
        <v>3</v>
      </c>
      <c r="E13" s="190">
        <v>6.9</v>
      </c>
      <c r="F13" s="139" t="s">
        <v>4</v>
      </c>
      <c r="G13" s="23" t="s">
        <v>229</v>
      </c>
      <c r="H13" s="180"/>
      <c r="I13" s="6"/>
      <c r="J13" s="6"/>
      <c r="K13" s="5"/>
      <c r="L13" s="6" t="s">
        <v>583</v>
      </c>
      <c r="M13" s="6" t="s">
        <v>7</v>
      </c>
      <c r="N13" s="31">
        <v>1500</v>
      </c>
      <c r="O13" s="31">
        <v>2125</v>
      </c>
      <c r="P13" s="16">
        <f t="shared" si="1"/>
        <v>3.1875</v>
      </c>
      <c r="Q13" s="12">
        <v>4.5</v>
      </c>
      <c r="R13" s="12"/>
      <c r="S13" s="13">
        <v>10.6</v>
      </c>
      <c r="T13" s="12">
        <v>3.35</v>
      </c>
      <c r="U13" s="16">
        <f t="shared" si="2"/>
        <v>27.822499999999998</v>
      </c>
      <c r="V13" s="12"/>
      <c r="W13" s="12"/>
      <c r="X13" s="13"/>
      <c r="Y13" s="12"/>
      <c r="Z13"/>
      <c r="AA13"/>
      <c r="AB13"/>
      <c r="AC13"/>
    </row>
    <row r="14" spans="1:29" s="15" customFormat="1" x14ac:dyDescent="0.25">
      <c r="A14" s="139" t="s">
        <v>0</v>
      </c>
      <c r="B14" s="139" t="s">
        <v>228</v>
      </c>
      <c r="C14" s="139" t="s">
        <v>1602</v>
      </c>
      <c r="D14" s="101" t="s">
        <v>1603</v>
      </c>
      <c r="E14" s="190">
        <v>34.799999999999997</v>
      </c>
      <c r="F14" s="139" t="s">
        <v>4</v>
      </c>
      <c r="G14" s="23" t="s">
        <v>229</v>
      </c>
      <c r="H14" s="180"/>
      <c r="I14" s="6"/>
      <c r="J14" s="6"/>
      <c r="K14" s="5"/>
      <c r="L14" s="6" t="s">
        <v>81</v>
      </c>
      <c r="M14" s="6" t="s">
        <v>7</v>
      </c>
      <c r="N14" s="31">
        <v>1500</v>
      </c>
      <c r="O14" s="31">
        <v>2125</v>
      </c>
      <c r="P14" s="16">
        <f t="shared" si="1"/>
        <v>3.1875</v>
      </c>
      <c r="Q14" s="12"/>
      <c r="R14" s="12"/>
      <c r="S14" s="13">
        <v>26.61</v>
      </c>
      <c r="T14" s="12">
        <v>3.35</v>
      </c>
      <c r="U14" s="16">
        <f t="shared" si="2"/>
        <v>85.956000000000003</v>
      </c>
      <c r="V14" s="12"/>
      <c r="W14" s="12"/>
      <c r="X14" s="13"/>
      <c r="Y14" s="12"/>
      <c r="Z14"/>
      <c r="AA14"/>
      <c r="AB14"/>
      <c r="AC14"/>
    </row>
    <row r="15" spans="1:29" s="15" customFormat="1" x14ac:dyDescent="0.25">
      <c r="A15" s="1" t="s">
        <v>0</v>
      </c>
      <c r="B15" s="1" t="s">
        <v>1</v>
      </c>
      <c r="C15" s="1" t="s">
        <v>1604</v>
      </c>
      <c r="D15" s="28" t="s">
        <v>1605</v>
      </c>
      <c r="E15" s="29">
        <v>5.4</v>
      </c>
      <c r="F15" s="1" t="s">
        <v>4</v>
      </c>
      <c r="G15" s="23" t="s">
        <v>229</v>
      </c>
      <c r="H15" s="180"/>
      <c r="I15" s="6"/>
      <c r="J15" s="6"/>
      <c r="K15" s="5"/>
      <c r="L15" s="6" t="s">
        <v>583</v>
      </c>
      <c r="M15" s="6" t="s">
        <v>7</v>
      </c>
      <c r="N15" s="31">
        <v>750</v>
      </c>
      <c r="O15" s="31">
        <v>2125</v>
      </c>
      <c r="P15" s="16">
        <f t="shared" si="1"/>
        <v>1.59375</v>
      </c>
      <c r="Q15" s="12"/>
      <c r="R15" s="12"/>
      <c r="S15" s="13">
        <v>19.95</v>
      </c>
      <c r="T15" s="12">
        <v>2</v>
      </c>
      <c r="U15" s="16">
        <f t="shared" si="2"/>
        <v>38.306249999999999</v>
      </c>
      <c r="V15" s="12"/>
      <c r="W15" s="12"/>
      <c r="X15" s="13"/>
      <c r="Y15" s="12"/>
      <c r="Z15"/>
      <c r="AA15"/>
      <c r="AB15"/>
      <c r="AC15"/>
    </row>
    <row r="16" spans="1:29" s="15" customFormat="1" x14ac:dyDescent="0.25">
      <c r="A16" s="1" t="s">
        <v>0</v>
      </c>
      <c r="B16" s="1" t="s">
        <v>1</v>
      </c>
      <c r="C16" s="1" t="s">
        <v>1606</v>
      </c>
      <c r="D16" s="28" t="s">
        <v>1607</v>
      </c>
      <c r="E16" s="29">
        <v>50.3</v>
      </c>
      <c r="F16" s="1" t="s">
        <v>4</v>
      </c>
      <c r="G16" s="23" t="s">
        <v>229</v>
      </c>
      <c r="H16" s="180"/>
      <c r="I16" s="6"/>
      <c r="J16" s="6"/>
      <c r="K16" s="5"/>
      <c r="L16" s="6" t="s">
        <v>103</v>
      </c>
      <c r="M16" s="6" t="s">
        <v>7</v>
      </c>
      <c r="N16" s="31">
        <v>1200</v>
      </c>
      <c r="O16" s="31">
        <v>2800</v>
      </c>
      <c r="P16" s="16">
        <f t="shared" si="1"/>
        <v>3.36</v>
      </c>
      <c r="Q16" s="12">
        <v>5.0999999999999996</v>
      </c>
      <c r="R16" s="12">
        <v>0.72</v>
      </c>
      <c r="S16" s="13">
        <v>30.01</v>
      </c>
      <c r="T16" s="12">
        <v>3.1</v>
      </c>
      <c r="U16" s="16">
        <f t="shared" si="2"/>
        <v>84.571000000000012</v>
      </c>
      <c r="V16" s="12"/>
      <c r="W16" s="12"/>
      <c r="X16" s="13"/>
      <c r="Y16" s="12"/>
      <c r="Z16"/>
      <c r="AA16"/>
      <c r="AB16"/>
      <c r="AC16"/>
    </row>
    <row r="17" spans="1:29" s="15" customFormat="1" x14ac:dyDescent="0.25">
      <c r="A17" s="1" t="s">
        <v>0</v>
      </c>
      <c r="B17" s="1" t="s">
        <v>1</v>
      </c>
      <c r="C17" s="1" t="s">
        <v>1608</v>
      </c>
      <c r="D17" s="28" t="s">
        <v>1609</v>
      </c>
      <c r="E17" s="29">
        <v>70.599999999999994</v>
      </c>
      <c r="F17" s="1" t="s">
        <v>4</v>
      </c>
      <c r="G17" s="23" t="s">
        <v>229</v>
      </c>
      <c r="H17" s="180"/>
      <c r="I17" s="6"/>
      <c r="J17" s="6"/>
      <c r="K17" s="5"/>
      <c r="L17" s="6" t="s">
        <v>583</v>
      </c>
      <c r="M17" s="6" t="s">
        <v>7</v>
      </c>
      <c r="N17" s="31">
        <v>1100</v>
      </c>
      <c r="O17" s="31">
        <v>2100</v>
      </c>
      <c r="P17" s="16">
        <f t="shared" si="1"/>
        <v>2.31</v>
      </c>
      <c r="Q17" s="12"/>
      <c r="R17" s="12"/>
      <c r="S17" s="13">
        <v>68.86</v>
      </c>
      <c r="T17" s="12">
        <v>3.1</v>
      </c>
      <c r="U17" s="16">
        <f t="shared" si="2"/>
        <v>211.15600000000001</v>
      </c>
      <c r="V17" s="12"/>
      <c r="W17" s="12"/>
      <c r="X17" s="13"/>
      <c r="Y17" s="12"/>
      <c r="Z17"/>
      <c r="AA17"/>
      <c r="AB17"/>
      <c r="AC17"/>
    </row>
    <row r="18" spans="1:29" s="287" customFormat="1" ht="17.25" x14ac:dyDescent="0.25">
      <c r="B18" s="280" t="s">
        <v>1552</v>
      </c>
      <c r="E18" s="288">
        <f>SUM(E11:E17)</f>
        <v>191.39999999999998</v>
      </c>
      <c r="F18" s="281" t="s">
        <v>1560</v>
      </c>
      <c r="G18" s="444"/>
      <c r="H18"/>
    </row>
    <row r="19" spans="1:29" s="107" customFormat="1" x14ac:dyDescent="0.25">
      <c r="A19" s="160" t="s">
        <v>230</v>
      </c>
      <c r="B19" s="160" t="s">
        <v>1</v>
      </c>
      <c r="C19" s="157" t="s">
        <v>1610</v>
      </c>
      <c r="D19" s="160" t="s">
        <v>1611</v>
      </c>
      <c r="E19" s="13">
        <v>36.700000000000003</v>
      </c>
      <c r="F19" s="160" t="s">
        <v>4</v>
      </c>
      <c r="G19" s="7" t="s">
        <v>229</v>
      </c>
      <c r="H19" s="181"/>
      <c r="I19" s="6"/>
      <c r="J19" s="6"/>
      <c r="K19" s="5"/>
      <c r="L19" s="179" t="s">
        <v>103</v>
      </c>
      <c r="M19" s="12" t="s">
        <v>7</v>
      </c>
      <c r="N19" s="150">
        <v>1500</v>
      </c>
      <c r="O19" s="150">
        <v>2100</v>
      </c>
      <c r="P19" s="35">
        <f>N19*O19*0.000001</f>
        <v>3.15</v>
      </c>
      <c r="Q19" s="12"/>
      <c r="R19" s="12"/>
      <c r="S19" s="12">
        <v>19.02</v>
      </c>
      <c r="T19" s="12">
        <v>2</v>
      </c>
      <c r="U19" s="12">
        <f>S19*T19-P19</f>
        <v>34.89</v>
      </c>
      <c r="V19" s="12"/>
      <c r="W19" s="12"/>
      <c r="X19" s="12"/>
      <c r="Y19" s="12"/>
    </row>
    <row r="20" spans="1:29" s="284" customFormat="1" ht="17.25" x14ac:dyDescent="0.25">
      <c r="B20" s="280" t="s">
        <v>1558</v>
      </c>
      <c r="E20" s="286">
        <f>E19</f>
        <v>36.700000000000003</v>
      </c>
      <c r="F20" s="281" t="s">
        <v>1560</v>
      </c>
      <c r="G20" s="445"/>
      <c r="H20"/>
    </row>
    <row r="21" spans="1:29" x14ac:dyDescent="0.25">
      <c r="A21" s="145" t="s">
        <v>1539</v>
      </c>
      <c r="B21" s="145" t="s">
        <v>361</v>
      </c>
      <c r="C21" s="145" t="s">
        <v>1612</v>
      </c>
      <c r="D21" s="145" t="s">
        <v>1613</v>
      </c>
      <c r="E21" s="235">
        <v>210.6</v>
      </c>
      <c r="F21" s="145" t="s">
        <v>4</v>
      </c>
      <c r="G21" s="7" t="s">
        <v>229</v>
      </c>
      <c r="H21" s="181"/>
      <c r="I21" s="6"/>
      <c r="J21" s="6"/>
      <c r="K21" s="5"/>
      <c r="L21" s="6" t="s">
        <v>6</v>
      </c>
      <c r="M21" s="6" t="s">
        <v>7</v>
      </c>
      <c r="N21" s="6">
        <v>6400</v>
      </c>
      <c r="O21" s="6">
        <v>2125</v>
      </c>
      <c r="P21" s="35">
        <f t="shared" ref="P21:P26" si="3">N21*O21*0.000001</f>
        <v>13.6</v>
      </c>
      <c r="Q21" s="6"/>
      <c r="R21" s="6"/>
      <c r="S21" s="6">
        <v>75.180000000000007</v>
      </c>
      <c r="T21" s="6">
        <v>2.7</v>
      </c>
      <c r="U21" s="6"/>
      <c r="V21" s="6"/>
      <c r="W21" s="6">
        <f t="shared" ref="W21:W26" si="4">S21*T21-P21</f>
        <v>189.38600000000002</v>
      </c>
      <c r="X21" s="6"/>
      <c r="Y21" s="6"/>
    </row>
    <row r="22" spans="1:29" x14ac:dyDescent="0.25">
      <c r="A22" s="145" t="s">
        <v>1539</v>
      </c>
      <c r="B22" s="145" t="s">
        <v>361</v>
      </c>
      <c r="C22" s="145" t="s">
        <v>1614</v>
      </c>
      <c r="D22" s="145" t="s">
        <v>1613</v>
      </c>
      <c r="E22" s="235">
        <v>88</v>
      </c>
      <c r="F22" s="145" t="s">
        <v>4</v>
      </c>
      <c r="G22" s="23" t="s">
        <v>229</v>
      </c>
      <c r="H22" s="181"/>
      <c r="I22" s="6"/>
      <c r="J22" s="6"/>
      <c r="K22" s="5"/>
      <c r="L22" s="179" t="s">
        <v>6</v>
      </c>
      <c r="M22" s="6" t="s">
        <v>7</v>
      </c>
      <c r="N22" s="150">
        <v>3000</v>
      </c>
      <c r="O22" s="150">
        <v>2125</v>
      </c>
      <c r="P22" s="35">
        <f t="shared" si="3"/>
        <v>6.375</v>
      </c>
      <c r="Q22" s="12"/>
      <c r="R22" s="12"/>
      <c r="S22" s="12">
        <v>46.42</v>
      </c>
      <c r="T22" s="12">
        <v>2.7</v>
      </c>
      <c r="U22" s="12"/>
      <c r="V22" s="12"/>
      <c r="W22" s="6">
        <f t="shared" si="4"/>
        <v>118.95900000000002</v>
      </c>
      <c r="X22" s="12"/>
      <c r="Y22" s="12"/>
    </row>
    <row r="23" spans="1:29" x14ac:dyDescent="0.25">
      <c r="A23" s="145" t="s">
        <v>1539</v>
      </c>
      <c r="B23" s="145" t="s">
        <v>361</v>
      </c>
      <c r="C23" s="145" t="s">
        <v>1615</v>
      </c>
      <c r="D23" s="145" t="s">
        <v>1613</v>
      </c>
      <c r="E23" s="235">
        <v>74.900000000000006</v>
      </c>
      <c r="F23" s="145" t="s">
        <v>4</v>
      </c>
      <c r="G23" s="23" t="s">
        <v>229</v>
      </c>
      <c r="H23" s="180"/>
      <c r="I23" s="6"/>
      <c r="J23" s="6"/>
      <c r="K23" s="5"/>
      <c r="L23" s="179" t="s">
        <v>6</v>
      </c>
      <c r="M23" s="6" t="s">
        <v>7</v>
      </c>
      <c r="N23" s="150">
        <v>3000</v>
      </c>
      <c r="O23" s="150">
        <v>2125</v>
      </c>
      <c r="P23" s="35">
        <f t="shared" si="3"/>
        <v>6.375</v>
      </c>
      <c r="Q23" s="12"/>
      <c r="R23" s="12"/>
      <c r="S23" s="12">
        <v>44.74</v>
      </c>
      <c r="T23" s="12">
        <v>2.7</v>
      </c>
      <c r="U23" s="12"/>
      <c r="V23" s="12"/>
      <c r="W23" s="12">
        <f t="shared" si="4"/>
        <v>114.42300000000002</v>
      </c>
      <c r="X23" s="12"/>
      <c r="Y23" s="12"/>
    </row>
    <row r="24" spans="1:29" x14ac:dyDescent="0.25">
      <c r="A24" s="145" t="s">
        <v>1539</v>
      </c>
      <c r="B24" s="145" t="s">
        <v>228</v>
      </c>
      <c r="C24" s="145" t="s">
        <v>1616</v>
      </c>
      <c r="D24" s="145" t="s">
        <v>1613</v>
      </c>
      <c r="E24" s="235">
        <v>192.8</v>
      </c>
      <c r="F24" s="145" t="s">
        <v>4</v>
      </c>
      <c r="G24" s="23" t="s">
        <v>229</v>
      </c>
      <c r="H24" s="180"/>
      <c r="I24" s="6"/>
      <c r="J24" s="6"/>
      <c r="K24" s="5"/>
      <c r="L24" s="179" t="s">
        <v>6</v>
      </c>
      <c r="M24" s="6" t="s">
        <v>7</v>
      </c>
      <c r="N24" s="150">
        <v>3000</v>
      </c>
      <c r="O24" s="150">
        <v>2125</v>
      </c>
      <c r="P24" s="35">
        <f t="shared" si="3"/>
        <v>6.375</v>
      </c>
      <c r="Q24" s="12"/>
      <c r="R24" s="12"/>
      <c r="S24" s="12">
        <v>60.43</v>
      </c>
      <c r="T24" s="12">
        <v>2.7</v>
      </c>
      <c r="U24" s="12"/>
      <c r="V24" s="12"/>
      <c r="W24" s="6">
        <f t="shared" si="4"/>
        <v>156.786</v>
      </c>
      <c r="X24" s="12"/>
      <c r="Y24" s="12"/>
    </row>
    <row r="25" spans="1:29" x14ac:dyDescent="0.25">
      <c r="A25" s="145" t="s">
        <v>1539</v>
      </c>
      <c r="B25" s="145" t="s">
        <v>228</v>
      </c>
      <c r="C25" s="145" t="s">
        <v>1617</v>
      </c>
      <c r="D25" s="145" t="s">
        <v>1613</v>
      </c>
      <c r="E25" s="235">
        <v>88</v>
      </c>
      <c r="F25" s="145" t="s">
        <v>4</v>
      </c>
      <c r="G25" s="23" t="s">
        <v>229</v>
      </c>
      <c r="H25" s="180"/>
      <c r="I25" s="6"/>
      <c r="J25" s="6"/>
      <c r="K25" s="5"/>
      <c r="L25" s="179" t="s">
        <v>6</v>
      </c>
      <c r="M25" s="6" t="s">
        <v>7</v>
      </c>
      <c r="N25" s="150">
        <v>3000</v>
      </c>
      <c r="O25" s="150">
        <v>2125</v>
      </c>
      <c r="P25" s="35">
        <f t="shared" si="3"/>
        <v>6.375</v>
      </c>
      <c r="Q25" s="12"/>
      <c r="R25" s="12"/>
      <c r="S25" s="12">
        <v>46.4</v>
      </c>
      <c r="T25" s="12">
        <v>2.7</v>
      </c>
      <c r="U25" s="12"/>
      <c r="V25" s="12"/>
      <c r="W25" s="6">
        <f t="shared" si="4"/>
        <v>118.905</v>
      </c>
      <c r="X25" s="12"/>
      <c r="Y25" s="12"/>
    </row>
    <row r="26" spans="1:29" s="107" customFormat="1" x14ac:dyDescent="0.25">
      <c r="A26" s="145" t="s">
        <v>1539</v>
      </c>
      <c r="B26" s="145" t="s">
        <v>228</v>
      </c>
      <c r="C26" s="145" t="s">
        <v>1618</v>
      </c>
      <c r="D26" s="145" t="s">
        <v>1613</v>
      </c>
      <c r="E26" s="235">
        <v>74.900000000000006</v>
      </c>
      <c r="F26" s="145" t="s">
        <v>4</v>
      </c>
      <c r="G26" s="23" t="s">
        <v>229</v>
      </c>
      <c r="H26" s="180"/>
      <c r="I26" s="6"/>
      <c r="J26" s="6"/>
      <c r="K26" s="5"/>
      <c r="L26" s="179" t="s">
        <v>6</v>
      </c>
      <c r="M26" s="6" t="s">
        <v>7</v>
      </c>
      <c r="N26" s="150">
        <v>4125</v>
      </c>
      <c r="O26" s="150">
        <v>2125</v>
      </c>
      <c r="P26" s="35">
        <f t="shared" si="3"/>
        <v>8.765625</v>
      </c>
      <c r="Q26" s="12"/>
      <c r="R26" s="12"/>
      <c r="S26" s="12">
        <v>44.17</v>
      </c>
      <c r="T26" s="12">
        <v>2.7</v>
      </c>
      <c r="U26" s="12"/>
      <c r="V26" s="12"/>
      <c r="W26" s="12">
        <f t="shared" si="4"/>
        <v>110.49337500000001</v>
      </c>
      <c r="X26" s="12"/>
      <c r="Y26" s="12"/>
    </row>
    <row r="27" spans="1:29" s="284" customFormat="1" ht="17.25" x14ac:dyDescent="0.25">
      <c r="B27" s="280" t="s">
        <v>1555</v>
      </c>
      <c r="E27" s="286">
        <f>SUM(E21:E26)</f>
        <v>729.19999999999993</v>
      </c>
      <c r="F27" s="281" t="s">
        <v>1560</v>
      </c>
      <c r="H27"/>
    </row>
    <row r="28" spans="1:29" s="284" customFormat="1" ht="17.25" x14ac:dyDescent="0.25">
      <c r="C28" s="280" t="s">
        <v>1550</v>
      </c>
      <c r="E28" s="286">
        <f>E10+E18+E20+E27</f>
        <v>1408</v>
      </c>
      <c r="F28" s="281" t="s">
        <v>1560</v>
      </c>
      <c r="H28"/>
    </row>
    <row r="30" spans="1:29" x14ac:dyDescent="0.25">
      <c r="C30" s="278" t="s">
        <v>1807</v>
      </c>
      <c r="D30" s="342"/>
      <c r="E30" s="358"/>
      <c r="F30" s="65"/>
    </row>
    <row r="31" spans="1:29" ht="17.25" x14ac:dyDescent="0.25">
      <c r="C31" s="65"/>
      <c r="D31" s="358" t="s">
        <v>1808</v>
      </c>
      <c r="E31" s="345">
        <v>0</v>
      </c>
      <c r="F31" s="342" t="s">
        <v>1560</v>
      </c>
    </row>
    <row r="32" spans="1:29" ht="17.25" x14ac:dyDescent="0.25">
      <c r="C32" s="65"/>
      <c r="D32" s="358" t="s">
        <v>37</v>
      </c>
      <c r="E32" s="345">
        <v>0</v>
      </c>
      <c r="F32" s="342" t="s">
        <v>1560</v>
      </c>
    </row>
    <row r="33" spans="3:6" ht="17.25" x14ac:dyDescent="0.25">
      <c r="C33" s="65"/>
      <c r="D33" s="358" t="s">
        <v>77</v>
      </c>
      <c r="E33" s="345">
        <v>0</v>
      </c>
      <c r="F33" s="342" t="s">
        <v>1560</v>
      </c>
    </row>
    <row r="34" spans="3:6" ht="17.25" x14ac:dyDescent="0.25">
      <c r="C34" s="65"/>
      <c r="D34" s="358" t="s">
        <v>229</v>
      </c>
      <c r="E34" s="345">
        <f>SUM(E5:E9)+SUM(E11:E17)+E19+SUM(E21:E26)</f>
        <v>1408</v>
      </c>
      <c r="F34" s="342" t="s">
        <v>1560</v>
      </c>
    </row>
    <row r="35" spans="3:6" ht="17.25" x14ac:dyDescent="0.25">
      <c r="C35" s="65"/>
      <c r="D35" s="359" t="s">
        <v>274</v>
      </c>
      <c r="E35" s="345">
        <f>SUM(E31:E34)</f>
        <v>1408</v>
      </c>
      <c r="F35" s="342" t="s">
        <v>1560</v>
      </c>
    </row>
    <row r="37" spans="3:6" x14ac:dyDescent="0.25">
      <c r="C37" s="284" t="s">
        <v>1956</v>
      </c>
    </row>
    <row r="38" spans="3:6" x14ac:dyDescent="0.25">
      <c r="C38" s="284"/>
    </row>
    <row r="39" spans="3:6" x14ac:dyDescent="0.25">
      <c r="C39" s="278" t="s">
        <v>1997</v>
      </c>
      <c r="D39" s="15"/>
    </row>
    <row r="40" spans="3:6" x14ac:dyDescent="0.25">
      <c r="C40" s="504"/>
      <c r="D40" s="305"/>
      <c r="E40" s="503" t="s">
        <v>1996</v>
      </c>
    </row>
    <row r="41" spans="3:6" x14ac:dyDescent="0.25">
      <c r="C41" s="284" t="s">
        <v>1998</v>
      </c>
    </row>
    <row r="42" spans="3:6" x14ac:dyDescent="0.25">
      <c r="C42" s="278" t="s">
        <v>2006</v>
      </c>
    </row>
  </sheetData>
  <sheetProtection password="87E5" sheet="1" objects="1" scenarios="1"/>
  <mergeCells count="22">
    <mergeCell ref="V3:V4"/>
    <mergeCell ref="H1:H4"/>
    <mergeCell ref="I1:I4"/>
    <mergeCell ref="J1:J4"/>
    <mergeCell ref="K1:K4"/>
    <mergeCell ref="L1:L4"/>
    <mergeCell ref="W3:W4"/>
    <mergeCell ref="E4:F4"/>
    <mergeCell ref="A1:F3"/>
    <mergeCell ref="G1:G4"/>
    <mergeCell ref="Y1:Y4"/>
    <mergeCell ref="M1:O4"/>
    <mergeCell ref="P1:P4"/>
    <mergeCell ref="Q1:Q4"/>
    <mergeCell ref="R1:R4"/>
    <mergeCell ref="X3:X4"/>
    <mergeCell ref="U2:V2"/>
    <mergeCell ref="W2:X2"/>
    <mergeCell ref="U1:X1"/>
    <mergeCell ref="S1:S4"/>
    <mergeCell ref="T1:T4"/>
    <mergeCell ref="U3:U4"/>
  </mergeCells>
  <dataValidations count="1">
    <dataValidation type="list" allowBlank="1" showInputMessage="1" showErrorMessage="1" sqref="G11:H17 G5:H9 G21:H26 G19:H19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69" fitToHeight="0" orientation="landscape" r:id="rId1"/>
  <headerFooter>
    <oddFooter>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zoomScale="90" zoomScaleNormal="90" workbookViewId="0">
      <pane ySplit="4" topLeftCell="A47" activePane="bottomLeft" state="frozen"/>
      <selection pane="bottomLeft" activeCell="C64" sqref="C64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0.28515625" customWidth="1"/>
    <col min="5" max="5" width="7.140625" style="250" bestFit="1" customWidth="1"/>
    <col min="6" max="6" width="4.140625" customWidth="1"/>
    <col min="7" max="7" width="10.85546875" customWidth="1"/>
    <col min="8" max="8" width="14.5703125" customWidth="1"/>
    <col min="9" max="9" width="10.28515625" customWidth="1"/>
    <col min="10" max="10" width="10.5703125" customWidth="1"/>
    <col min="11" max="11" width="22.7109375" style="64" customWidth="1"/>
    <col min="12" max="12" width="10.42578125" customWidth="1"/>
    <col min="13" max="13" width="7.7109375" customWidth="1"/>
    <col min="14" max="15" width="6" customWidth="1"/>
    <col min="16" max="16" width="7.140625" style="250" customWidth="1"/>
    <col min="17" max="17" width="8" customWidth="1"/>
    <col min="18" max="18" width="9" customWidth="1"/>
    <col min="19" max="19" width="7.7109375" customWidth="1"/>
    <col min="20" max="20" width="7.140625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25" ht="15" customHeight="1" x14ac:dyDescent="0.25">
      <c r="A1" s="642" t="s">
        <v>1958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1563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25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5" s="163" customForma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5" ht="15.75" thickBot="1" x14ac:dyDescent="0.3">
      <c r="A4" s="211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25" ht="30" customHeight="1" x14ac:dyDescent="0.25">
      <c r="A5" s="177" t="s">
        <v>277</v>
      </c>
      <c r="B5" s="177" t="s">
        <v>361</v>
      </c>
      <c r="C5" s="177" t="s">
        <v>1620</v>
      </c>
      <c r="D5" s="177" t="s">
        <v>3</v>
      </c>
      <c r="E5" s="194">
        <v>1.7</v>
      </c>
      <c r="F5" s="177" t="s">
        <v>4</v>
      </c>
      <c r="G5" s="22" t="s">
        <v>77</v>
      </c>
      <c r="H5" s="180" t="s">
        <v>738</v>
      </c>
      <c r="I5" s="22"/>
      <c r="J5" s="22" t="s">
        <v>194</v>
      </c>
      <c r="K5" s="21" t="s">
        <v>1448</v>
      </c>
      <c r="L5" s="177" t="s">
        <v>81</v>
      </c>
      <c r="M5" s="177" t="s">
        <v>7</v>
      </c>
      <c r="N5" s="177">
        <v>2500</v>
      </c>
      <c r="O5" s="177">
        <v>2125</v>
      </c>
      <c r="P5" s="294">
        <f t="shared" ref="P5:P31" si="0">N5*O5*0.000001</f>
        <v>5.3125</v>
      </c>
      <c r="Q5" s="140"/>
      <c r="R5" s="140"/>
      <c r="S5" s="140">
        <v>5.35</v>
      </c>
      <c r="T5" s="140">
        <v>2.4</v>
      </c>
      <c r="U5" s="140">
        <f>S5*T5-P5</f>
        <v>7.5274999999999981</v>
      </c>
      <c r="V5" s="140"/>
      <c r="W5" s="140"/>
      <c r="X5" s="140"/>
      <c r="Y5" s="140"/>
    </row>
    <row r="6" spans="1:25" ht="30" customHeight="1" x14ac:dyDescent="0.25">
      <c r="A6" s="139" t="s">
        <v>277</v>
      </c>
      <c r="B6" s="139" t="s">
        <v>361</v>
      </c>
      <c r="C6" s="139" t="s">
        <v>1621</v>
      </c>
      <c r="D6" s="139" t="s">
        <v>65</v>
      </c>
      <c r="E6" s="190">
        <v>1.5</v>
      </c>
      <c r="F6" s="139" t="s">
        <v>4</v>
      </c>
      <c r="G6" s="6" t="s">
        <v>77</v>
      </c>
      <c r="H6" s="180" t="s">
        <v>738</v>
      </c>
      <c r="I6" s="6"/>
      <c r="J6" s="6" t="s">
        <v>194</v>
      </c>
      <c r="K6" s="5" t="s">
        <v>1448</v>
      </c>
      <c r="L6" s="139" t="s">
        <v>81</v>
      </c>
      <c r="M6" s="139" t="s">
        <v>7</v>
      </c>
      <c r="N6" s="139">
        <v>750</v>
      </c>
      <c r="O6" s="139">
        <v>2125</v>
      </c>
      <c r="P6" s="292">
        <f t="shared" si="0"/>
        <v>1.59375</v>
      </c>
      <c r="Q6" s="141"/>
      <c r="R6" s="141"/>
      <c r="S6" s="141">
        <v>4.8499999999999996</v>
      </c>
      <c r="T6" s="141">
        <v>2.4</v>
      </c>
      <c r="U6" s="141"/>
      <c r="V6" s="141"/>
      <c r="W6" s="141"/>
      <c r="X6" s="141">
        <f>S6*T6-P6</f>
        <v>10.046249999999999</v>
      </c>
      <c r="Y6" s="141"/>
    </row>
    <row r="7" spans="1:25" ht="30" customHeight="1" x14ac:dyDescent="0.25">
      <c r="A7" s="139" t="s">
        <v>277</v>
      </c>
      <c r="B7" s="139" t="s">
        <v>361</v>
      </c>
      <c r="C7" s="139" t="s">
        <v>1622</v>
      </c>
      <c r="D7" s="139" t="s">
        <v>140</v>
      </c>
      <c r="E7" s="190">
        <v>30.1</v>
      </c>
      <c r="F7" s="139" t="s">
        <v>4</v>
      </c>
      <c r="G7" s="6" t="s">
        <v>77</v>
      </c>
      <c r="H7" s="180" t="s">
        <v>738</v>
      </c>
      <c r="I7" s="6"/>
      <c r="J7" s="6" t="s">
        <v>194</v>
      </c>
      <c r="K7" s="5" t="s">
        <v>1448</v>
      </c>
      <c r="L7" s="139" t="s">
        <v>10</v>
      </c>
      <c r="M7" s="139" t="s">
        <v>7</v>
      </c>
      <c r="N7" s="139">
        <v>1750</v>
      </c>
      <c r="O7" s="139">
        <v>2125</v>
      </c>
      <c r="P7" s="292">
        <f t="shared" si="0"/>
        <v>3.71875</v>
      </c>
      <c r="Q7" s="141">
        <v>0.72</v>
      </c>
      <c r="R7" s="141">
        <v>0.72</v>
      </c>
      <c r="S7" s="141">
        <v>29.87</v>
      </c>
      <c r="T7" s="141">
        <v>2.5</v>
      </c>
      <c r="U7" s="141">
        <f>S7*T7-P7-Q7</f>
        <v>70.236249999999998</v>
      </c>
      <c r="V7" s="141"/>
      <c r="W7" s="141"/>
      <c r="X7" s="141"/>
      <c r="Y7" s="141"/>
    </row>
    <row r="8" spans="1:25" ht="30" customHeight="1" x14ac:dyDescent="0.25">
      <c r="A8" s="139" t="s">
        <v>277</v>
      </c>
      <c r="B8" s="139" t="s">
        <v>361</v>
      </c>
      <c r="C8" s="139" t="s">
        <v>1623</v>
      </c>
      <c r="D8" s="139" t="s">
        <v>685</v>
      </c>
      <c r="E8" s="190">
        <v>3.6</v>
      </c>
      <c r="F8" s="139" t="s">
        <v>4</v>
      </c>
      <c r="G8" s="6" t="s">
        <v>77</v>
      </c>
      <c r="H8" s="180" t="s">
        <v>738</v>
      </c>
      <c r="I8" s="6"/>
      <c r="J8" s="6" t="s">
        <v>194</v>
      </c>
      <c r="K8" s="5" t="s">
        <v>1448</v>
      </c>
      <c r="L8" s="139" t="s">
        <v>81</v>
      </c>
      <c r="M8" s="139" t="s">
        <v>7</v>
      </c>
      <c r="N8" s="139">
        <v>875</v>
      </c>
      <c r="O8" s="139">
        <v>2125</v>
      </c>
      <c r="P8" s="292">
        <f t="shared" si="0"/>
        <v>1.859375</v>
      </c>
      <c r="Q8" s="141"/>
      <c r="R8" s="141"/>
      <c r="S8" s="141">
        <v>7.7</v>
      </c>
      <c r="T8" s="141">
        <v>2.4</v>
      </c>
      <c r="U8" s="141"/>
      <c r="V8" s="141"/>
      <c r="W8" s="141"/>
      <c r="X8" s="141">
        <f>S8*T8-P8</f>
        <v>16.620625</v>
      </c>
      <c r="Y8" s="141">
        <v>5.16</v>
      </c>
    </row>
    <row r="9" spans="1:25" ht="30" customHeight="1" x14ac:dyDescent="0.25">
      <c r="A9" s="139" t="s">
        <v>277</v>
      </c>
      <c r="B9" s="139" t="s">
        <v>361</v>
      </c>
      <c r="C9" s="139" t="s">
        <v>1624</v>
      </c>
      <c r="D9" s="139" t="s">
        <v>3</v>
      </c>
      <c r="E9" s="190">
        <v>1.7</v>
      </c>
      <c r="F9" s="139" t="s">
        <v>4</v>
      </c>
      <c r="G9" s="6" t="s">
        <v>77</v>
      </c>
      <c r="H9" s="180" t="s">
        <v>738</v>
      </c>
      <c r="I9" s="6"/>
      <c r="J9" s="6" t="s">
        <v>194</v>
      </c>
      <c r="K9" s="5" t="s">
        <v>1448</v>
      </c>
      <c r="L9" s="139" t="s">
        <v>81</v>
      </c>
      <c r="M9" s="139" t="s">
        <v>7</v>
      </c>
      <c r="N9" s="139">
        <v>2500</v>
      </c>
      <c r="O9" s="139">
        <v>2125</v>
      </c>
      <c r="P9" s="292">
        <f t="shared" si="0"/>
        <v>5.3125</v>
      </c>
      <c r="Q9" s="141"/>
      <c r="R9" s="141"/>
      <c r="S9" s="141">
        <v>5.35</v>
      </c>
      <c r="T9" s="141">
        <v>2.4</v>
      </c>
      <c r="U9" s="141">
        <f>S9*T9-P9</f>
        <v>7.5274999999999981</v>
      </c>
      <c r="V9" s="141"/>
      <c r="W9" s="141"/>
      <c r="X9" s="141"/>
      <c r="Y9" s="141"/>
    </row>
    <row r="10" spans="1:25" ht="30" customHeight="1" x14ac:dyDescent="0.25">
      <c r="A10" s="139" t="s">
        <v>277</v>
      </c>
      <c r="B10" s="139" t="s">
        <v>361</v>
      </c>
      <c r="C10" s="139" t="s">
        <v>1625</v>
      </c>
      <c r="D10" s="139" t="s">
        <v>65</v>
      </c>
      <c r="E10" s="190">
        <v>1.2</v>
      </c>
      <c r="F10" s="139" t="s">
        <v>4</v>
      </c>
      <c r="G10" s="6" t="s">
        <v>77</v>
      </c>
      <c r="H10" s="180" t="s">
        <v>738</v>
      </c>
      <c r="I10" s="6"/>
      <c r="J10" s="6" t="s">
        <v>194</v>
      </c>
      <c r="K10" s="5" t="s">
        <v>1448</v>
      </c>
      <c r="L10" s="139" t="s">
        <v>81</v>
      </c>
      <c r="M10" s="139" t="s">
        <v>7</v>
      </c>
      <c r="N10" s="139">
        <v>750</v>
      </c>
      <c r="O10" s="139">
        <v>2125</v>
      </c>
      <c r="P10" s="292">
        <f t="shared" si="0"/>
        <v>1.59375</v>
      </c>
      <c r="Q10" s="141"/>
      <c r="R10" s="141"/>
      <c r="S10" s="141">
        <v>4.4000000000000004</v>
      </c>
      <c r="T10" s="141">
        <v>2.4</v>
      </c>
      <c r="U10" s="141"/>
      <c r="V10" s="141"/>
      <c r="W10" s="141"/>
      <c r="X10" s="141">
        <f>S10*T10-P10</f>
        <v>8.9662500000000005</v>
      </c>
      <c r="Y10" s="141"/>
    </row>
    <row r="11" spans="1:25" ht="30" customHeight="1" x14ac:dyDescent="0.25">
      <c r="A11" s="139" t="s">
        <v>277</v>
      </c>
      <c r="B11" s="139" t="s">
        <v>361</v>
      </c>
      <c r="C11" s="139" t="s">
        <v>1626</v>
      </c>
      <c r="D11" s="139" t="s">
        <v>140</v>
      </c>
      <c r="E11" s="190">
        <v>30.2</v>
      </c>
      <c r="F11" s="139" t="s">
        <v>4</v>
      </c>
      <c r="G11" s="6" t="s">
        <v>77</v>
      </c>
      <c r="H11" s="180" t="s">
        <v>738</v>
      </c>
      <c r="I11" s="6"/>
      <c r="J11" s="6" t="s">
        <v>194</v>
      </c>
      <c r="K11" s="5" t="s">
        <v>1448</v>
      </c>
      <c r="L11" s="139" t="s">
        <v>10</v>
      </c>
      <c r="M11" s="139" t="s">
        <v>7</v>
      </c>
      <c r="N11" s="139">
        <v>1750</v>
      </c>
      <c r="O11" s="139">
        <v>2125</v>
      </c>
      <c r="P11" s="292">
        <f t="shared" si="0"/>
        <v>3.71875</v>
      </c>
      <c r="Q11" s="141">
        <v>0.72</v>
      </c>
      <c r="R11" s="141">
        <v>0.72</v>
      </c>
      <c r="S11" s="141">
        <v>29.87</v>
      </c>
      <c r="T11" s="141">
        <v>2.5</v>
      </c>
      <c r="U11" s="141">
        <f>S11*T11-P11-Q11</f>
        <v>70.236249999999998</v>
      </c>
      <c r="V11" s="141"/>
      <c r="W11" s="141"/>
      <c r="X11" s="141"/>
      <c r="Y11" s="141"/>
    </row>
    <row r="12" spans="1:25" ht="30" customHeight="1" x14ac:dyDescent="0.25">
      <c r="A12" s="139" t="s">
        <v>277</v>
      </c>
      <c r="B12" s="139" t="s">
        <v>361</v>
      </c>
      <c r="C12" s="139" t="s">
        <v>1627</v>
      </c>
      <c r="D12" s="139" t="s">
        <v>685</v>
      </c>
      <c r="E12" s="190">
        <v>3.6</v>
      </c>
      <c r="F12" s="139" t="s">
        <v>4</v>
      </c>
      <c r="G12" s="6" t="s">
        <v>77</v>
      </c>
      <c r="H12" s="180" t="s">
        <v>738</v>
      </c>
      <c r="I12" s="6"/>
      <c r="J12" s="6" t="s">
        <v>194</v>
      </c>
      <c r="K12" s="5" t="s">
        <v>1448</v>
      </c>
      <c r="L12" s="139" t="s">
        <v>81</v>
      </c>
      <c r="M12" s="139" t="s">
        <v>7</v>
      </c>
      <c r="N12" s="139">
        <v>875</v>
      </c>
      <c r="O12" s="139">
        <v>2125</v>
      </c>
      <c r="P12" s="292">
        <f t="shared" si="0"/>
        <v>1.859375</v>
      </c>
      <c r="Q12" s="141"/>
      <c r="R12" s="141"/>
      <c r="S12" s="141">
        <v>7.7</v>
      </c>
      <c r="T12" s="141">
        <v>2.4</v>
      </c>
      <c r="U12" s="141"/>
      <c r="V12" s="141"/>
      <c r="W12" s="141"/>
      <c r="X12" s="141">
        <f>S12*T12-P12</f>
        <v>16.620625</v>
      </c>
      <c r="Y12" s="141">
        <v>5.16</v>
      </c>
    </row>
    <row r="13" spans="1:25" s="107" customFormat="1" ht="30" customHeight="1" x14ac:dyDescent="0.25">
      <c r="A13" s="139" t="s">
        <v>277</v>
      </c>
      <c r="B13" s="139" t="s">
        <v>361</v>
      </c>
      <c r="C13" s="139" t="s">
        <v>1628</v>
      </c>
      <c r="D13" s="139" t="s">
        <v>3</v>
      </c>
      <c r="E13" s="190">
        <v>1.7</v>
      </c>
      <c r="F13" s="139" t="s">
        <v>4</v>
      </c>
      <c r="G13" s="6" t="s">
        <v>77</v>
      </c>
      <c r="H13" s="180" t="s">
        <v>738</v>
      </c>
      <c r="I13" s="6"/>
      <c r="J13" s="6" t="s">
        <v>194</v>
      </c>
      <c r="K13" s="5" t="s">
        <v>1448</v>
      </c>
      <c r="L13" s="139" t="s">
        <v>81</v>
      </c>
      <c r="M13" s="139" t="s">
        <v>7</v>
      </c>
      <c r="N13" s="139">
        <v>875</v>
      </c>
      <c r="O13" s="139">
        <v>2125</v>
      </c>
      <c r="P13" s="292">
        <f t="shared" si="0"/>
        <v>1.859375</v>
      </c>
      <c r="Q13" s="141"/>
      <c r="R13" s="141"/>
      <c r="S13" s="141">
        <v>5.35</v>
      </c>
      <c r="T13" s="141">
        <v>2.4</v>
      </c>
      <c r="U13" s="141">
        <f>S13*T13-P13</f>
        <v>10.980624999999998</v>
      </c>
      <c r="V13" s="141"/>
      <c r="W13" s="141"/>
      <c r="X13" s="141"/>
      <c r="Y13" s="141"/>
    </row>
    <row r="14" spans="1:25" ht="30" customHeight="1" x14ac:dyDescent="0.25">
      <c r="A14" s="139" t="s">
        <v>277</v>
      </c>
      <c r="B14" s="139" t="s">
        <v>361</v>
      </c>
      <c r="C14" s="139" t="s">
        <v>1629</v>
      </c>
      <c r="D14" s="139" t="s">
        <v>65</v>
      </c>
      <c r="E14" s="190">
        <v>1.5</v>
      </c>
      <c r="F14" s="139" t="s">
        <v>4</v>
      </c>
      <c r="G14" s="6" t="s">
        <v>77</v>
      </c>
      <c r="H14" s="180" t="s">
        <v>738</v>
      </c>
      <c r="I14" s="6"/>
      <c r="J14" s="6" t="s">
        <v>194</v>
      </c>
      <c r="K14" s="5" t="s">
        <v>1448</v>
      </c>
      <c r="L14" s="139" t="s">
        <v>81</v>
      </c>
      <c r="M14" s="139" t="s">
        <v>7</v>
      </c>
      <c r="N14" s="139">
        <v>750</v>
      </c>
      <c r="O14" s="139">
        <v>2125</v>
      </c>
      <c r="P14" s="292">
        <f t="shared" si="0"/>
        <v>1.59375</v>
      </c>
      <c r="Q14" s="141"/>
      <c r="R14" s="141"/>
      <c r="S14" s="141">
        <v>4.4000000000000004</v>
      </c>
      <c r="T14" s="141">
        <v>2.4</v>
      </c>
      <c r="U14" s="141"/>
      <c r="V14" s="141"/>
      <c r="W14" s="141"/>
      <c r="X14" s="141">
        <f>S14*T14-P14</f>
        <v>8.9662500000000005</v>
      </c>
      <c r="Y14" s="141"/>
    </row>
    <row r="15" spans="1:25" ht="30" customHeight="1" x14ac:dyDescent="0.25">
      <c r="A15" s="139" t="s">
        <v>277</v>
      </c>
      <c r="B15" s="139" t="s">
        <v>361</v>
      </c>
      <c r="C15" s="139" t="s">
        <v>1630</v>
      </c>
      <c r="D15" s="139" t="s">
        <v>140</v>
      </c>
      <c r="E15" s="190">
        <v>29.2</v>
      </c>
      <c r="F15" s="139" t="s">
        <v>4</v>
      </c>
      <c r="G15" s="6" t="s">
        <v>77</v>
      </c>
      <c r="H15" s="180" t="s">
        <v>738</v>
      </c>
      <c r="I15" s="6"/>
      <c r="J15" s="6" t="s">
        <v>194</v>
      </c>
      <c r="K15" s="5" t="s">
        <v>1448</v>
      </c>
      <c r="L15" s="139" t="s">
        <v>10</v>
      </c>
      <c r="M15" s="139" t="s">
        <v>7</v>
      </c>
      <c r="N15" s="139">
        <v>1750</v>
      </c>
      <c r="O15" s="139">
        <v>2125</v>
      </c>
      <c r="P15" s="292">
        <f t="shared" si="0"/>
        <v>3.71875</v>
      </c>
      <c r="Q15" s="141">
        <v>0.72</v>
      </c>
      <c r="R15" s="141">
        <v>0.72</v>
      </c>
      <c r="S15" s="141">
        <v>29.37</v>
      </c>
      <c r="T15" s="141">
        <v>2.5</v>
      </c>
      <c r="U15" s="141">
        <f>S15*T15-P15-Q15</f>
        <v>68.986249999999998</v>
      </c>
      <c r="V15" s="141"/>
      <c r="W15" s="141"/>
      <c r="X15" s="141"/>
      <c r="Y15" s="141"/>
    </row>
    <row r="16" spans="1:25" ht="30" customHeight="1" x14ac:dyDescent="0.25">
      <c r="A16" s="139" t="s">
        <v>277</v>
      </c>
      <c r="B16" s="139" t="s">
        <v>361</v>
      </c>
      <c r="C16" s="139" t="s">
        <v>1631</v>
      </c>
      <c r="D16" s="139" t="s">
        <v>685</v>
      </c>
      <c r="E16" s="190">
        <v>4.2</v>
      </c>
      <c r="F16" s="139" t="s">
        <v>4</v>
      </c>
      <c r="G16" s="6" t="s">
        <v>77</v>
      </c>
      <c r="H16" s="180" t="s">
        <v>738</v>
      </c>
      <c r="I16" s="6"/>
      <c r="J16" s="6" t="s">
        <v>194</v>
      </c>
      <c r="K16" s="5" t="s">
        <v>1448</v>
      </c>
      <c r="L16" s="139" t="s">
        <v>81</v>
      </c>
      <c r="M16" s="139" t="s">
        <v>7</v>
      </c>
      <c r="N16" s="139">
        <v>875</v>
      </c>
      <c r="O16" s="139">
        <v>2125</v>
      </c>
      <c r="P16" s="292">
        <f t="shared" si="0"/>
        <v>1.859375</v>
      </c>
      <c r="Q16" s="141"/>
      <c r="R16" s="141"/>
      <c r="S16" s="141">
        <v>8.4</v>
      </c>
      <c r="T16" s="141">
        <v>2.4</v>
      </c>
      <c r="U16" s="141"/>
      <c r="V16" s="141"/>
      <c r="W16" s="141"/>
      <c r="X16" s="141">
        <f>S16*T16-P16</f>
        <v>18.300625</v>
      </c>
      <c r="Y16" s="141">
        <v>5.16</v>
      </c>
    </row>
    <row r="17" spans="1:25" ht="30" customHeight="1" x14ac:dyDescent="0.25">
      <c r="A17" s="139" t="s">
        <v>277</v>
      </c>
      <c r="B17" s="139" t="s">
        <v>228</v>
      </c>
      <c r="C17" s="139" t="s">
        <v>1632</v>
      </c>
      <c r="D17" s="139" t="s">
        <v>3</v>
      </c>
      <c r="E17" s="190">
        <v>1.7</v>
      </c>
      <c r="F17" s="139" t="s">
        <v>4</v>
      </c>
      <c r="G17" s="6" t="s">
        <v>77</v>
      </c>
      <c r="H17" s="180" t="s">
        <v>738</v>
      </c>
      <c r="I17" s="6"/>
      <c r="J17" s="6" t="s">
        <v>194</v>
      </c>
      <c r="K17" s="5" t="s">
        <v>1448</v>
      </c>
      <c r="L17" s="139" t="s">
        <v>81</v>
      </c>
      <c r="M17" s="139" t="s">
        <v>7</v>
      </c>
      <c r="N17" s="139">
        <v>2500</v>
      </c>
      <c r="O17" s="139">
        <v>2125</v>
      </c>
      <c r="P17" s="292">
        <f t="shared" si="0"/>
        <v>5.3125</v>
      </c>
      <c r="Q17" s="141"/>
      <c r="R17" s="141"/>
      <c r="S17" s="141">
        <v>5.35</v>
      </c>
      <c r="T17" s="141">
        <v>2.4</v>
      </c>
      <c r="U17" s="141">
        <f>S17*T17-P17</f>
        <v>7.5274999999999981</v>
      </c>
      <c r="V17" s="141"/>
      <c r="W17" s="141"/>
      <c r="X17" s="141"/>
      <c r="Y17" s="141"/>
    </row>
    <row r="18" spans="1:25" ht="30" customHeight="1" x14ac:dyDescent="0.25">
      <c r="A18" s="139" t="s">
        <v>277</v>
      </c>
      <c r="B18" s="139" t="s">
        <v>228</v>
      </c>
      <c r="C18" s="139" t="s">
        <v>1633</v>
      </c>
      <c r="D18" s="139" t="s">
        <v>65</v>
      </c>
      <c r="E18" s="190">
        <v>1.5</v>
      </c>
      <c r="F18" s="139" t="s">
        <v>4</v>
      </c>
      <c r="G18" s="6" t="s">
        <v>77</v>
      </c>
      <c r="H18" s="180" t="s">
        <v>738</v>
      </c>
      <c r="I18" s="6"/>
      <c r="J18" s="6" t="s">
        <v>194</v>
      </c>
      <c r="K18" s="5" t="s">
        <v>1448</v>
      </c>
      <c r="L18" s="139" t="s">
        <v>81</v>
      </c>
      <c r="M18" s="139" t="s">
        <v>7</v>
      </c>
      <c r="N18" s="139">
        <v>750</v>
      </c>
      <c r="O18" s="139">
        <v>2125</v>
      </c>
      <c r="P18" s="292">
        <f t="shared" si="0"/>
        <v>1.59375</v>
      </c>
      <c r="Q18" s="141"/>
      <c r="R18" s="141"/>
      <c r="S18" s="141">
        <v>4.8499999999999996</v>
      </c>
      <c r="T18" s="141">
        <v>2.4</v>
      </c>
      <c r="U18" s="141"/>
      <c r="V18" s="141"/>
      <c r="W18" s="141"/>
      <c r="X18" s="141">
        <f>S18*T18-P18</f>
        <v>10.046249999999999</v>
      </c>
      <c r="Y18" s="141"/>
    </row>
    <row r="19" spans="1:25" ht="30" customHeight="1" x14ac:dyDescent="0.25">
      <c r="A19" s="139" t="s">
        <v>277</v>
      </c>
      <c r="B19" s="139" t="s">
        <v>228</v>
      </c>
      <c r="C19" s="139" t="s">
        <v>1634</v>
      </c>
      <c r="D19" s="139" t="s">
        <v>140</v>
      </c>
      <c r="E19" s="190">
        <v>25.9</v>
      </c>
      <c r="F19" s="139" t="s">
        <v>4</v>
      </c>
      <c r="G19" s="6" t="s">
        <v>77</v>
      </c>
      <c r="H19" s="180" t="s">
        <v>738</v>
      </c>
      <c r="I19" s="6"/>
      <c r="J19" s="6" t="s">
        <v>194</v>
      </c>
      <c r="K19" s="5" t="s">
        <v>1448</v>
      </c>
      <c r="L19" s="139" t="s">
        <v>10</v>
      </c>
      <c r="M19" s="139" t="s">
        <v>7</v>
      </c>
      <c r="N19" s="139">
        <v>1750</v>
      </c>
      <c r="O19" s="139">
        <v>2125</v>
      </c>
      <c r="P19" s="292">
        <f t="shared" si="0"/>
        <v>3.71875</v>
      </c>
      <c r="Q19" s="141">
        <v>0.72</v>
      </c>
      <c r="R19" s="141">
        <v>0.72</v>
      </c>
      <c r="S19" s="141">
        <v>27.55</v>
      </c>
      <c r="T19" s="141">
        <v>2.5</v>
      </c>
      <c r="U19" s="141">
        <f>S19*T19-P19-Q19</f>
        <v>64.436250000000001</v>
      </c>
      <c r="V19" s="141"/>
      <c r="W19" s="141"/>
      <c r="X19" s="141"/>
      <c r="Y19" s="141"/>
    </row>
    <row r="20" spans="1:25" ht="30" customHeight="1" x14ac:dyDescent="0.25">
      <c r="A20" s="139" t="s">
        <v>277</v>
      </c>
      <c r="B20" s="139" t="s">
        <v>228</v>
      </c>
      <c r="C20" s="139" t="s">
        <v>1635</v>
      </c>
      <c r="D20" s="139" t="s">
        <v>62</v>
      </c>
      <c r="E20" s="190">
        <v>3.2</v>
      </c>
      <c r="F20" s="139" t="s">
        <v>4</v>
      </c>
      <c r="G20" s="6" t="s">
        <v>77</v>
      </c>
      <c r="H20" s="180" t="s">
        <v>738</v>
      </c>
      <c r="I20" s="6"/>
      <c r="J20" s="6" t="s">
        <v>194</v>
      </c>
      <c r="K20" s="5" t="s">
        <v>1448</v>
      </c>
      <c r="L20" s="139" t="s">
        <v>81</v>
      </c>
      <c r="M20" s="139" t="s">
        <v>7</v>
      </c>
      <c r="N20" s="139">
        <v>875</v>
      </c>
      <c r="O20" s="139">
        <v>2125</v>
      </c>
      <c r="P20" s="292">
        <f t="shared" si="0"/>
        <v>1.859375</v>
      </c>
      <c r="Q20" s="141"/>
      <c r="R20" s="141"/>
      <c r="S20" s="141">
        <v>7.7</v>
      </c>
      <c r="T20" s="141">
        <v>2.4</v>
      </c>
      <c r="U20" s="141"/>
      <c r="V20" s="141"/>
      <c r="W20" s="141"/>
      <c r="X20" s="141">
        <f>S20*T20-P20</f>
        <v>16.620625</v>
      </c>
      <c r="Y20" s="141">
        <v>5.16</v>
      </c>
    </row>
    <row r="21" spans="1:25" ht="30" customHeight="1" x14ac:dyDescent="0.25">
      <c r="A21" s="139" t="s">
        <v>277</v>
      </c>
      <c r="B21" s="139" t="s">
        <v>228</v>
      </c>
      <c r="C21" s="139" t="s">
        <v>1636</v>
      </c>
      <c r="D21" s="139" t="s">
        <v>1637</v>
      </c>
      <c r="E21" s="190">
        <v>5.2</v>
      </c>
      <c r="F21" s="139" t="s">
        <v>4</v>
      </c>
      <c r="G21" s="6" t="s">
        <v>77</v>
      </c>
      <c r="H21" s="180" t="s">
        <v>738</v>
      </c>
      <c r="I21" s="6"/>
      <c r="J21" s="6" t="s">
        <v>194</v>
      </c>
      <c r="K21" s="5" t="s">
        <v>1448</v>
      </c>
      <c r="L21" s="139" t="s">
        <v>81</v>
      </c>
      <c r="M21" s="139" t="s">
        <v>7</v>
      </c>
      <c r="N21" s="139">
        <v>2250</v>
      </c>
      <c r="O21" s="139">
        <v>2125</v>
      </c>
      <c r="P21" s="292">
        <f t="shared" si="0"/>
        <v>4.78125</v>
      </c>
      <c r="Q21" s="141"/>
      <c r="R21" s="141"/>
      <c r="S21" s="141">
        <v>10.25</v>
      </c>
      <c r="T21" s="141">
        <v>2.2000000000000002</v>
      </c>
      <c r="U21" s="141">
        <f>S21*T21-P21</f>
        <v>17.768750000000001</v>
      </c>
      <c r="V21" s="141"/>
      <c r="W21" s="141"/>
      <c r="X21" s="141"/>
      <c r="Y21" s="141"/>
    </row>
    <row r="22" spans="1:25" s="107" customFormat="1" ht="30" customHeight="1" x14ac:dyDescent="0.25">
      <c r="A22" s="139" t="s">
        <v>277</v>
      </c>
      <c r="B22" s="139" t="s">
        <v>228</v>
      </c>
      <c r="C22" s="139" t="s">
        <v>1638</v>
      </c>
      <c r="D22" s="139" t="s">
        <v>685</v>
      </c>
      <c r="E22" s="190">
        <v>5</v>
      </c>
      <c r="F22" s="139" t="s">
        <v>4</v>
      </c>
      <c r="G22" s="6" t="s">
        <v>77</v>
      </c>
      <c r="H22" s="180" t="s">
        <v>738</v>
      </c>
      <c r="I22" s="6"/>
      <c r="J22" s="6" t="s">
        <v>194</v>
      </c>
      <c r="K22" s="5" t="s">
        <v>1448</v>
      </c>
      <c r="L22" s="139" t="s">
        <v>81</v>
      </c>
      <c r="M22" s="139" t="s">
        <v>7</v>
      </c>
      <c r="N22" s="139">
        <v>1125</v>
      </c>
      <c r="O22" s="139">
        <v>2125</v>
      </c>
      <c r="P22" s="292">
        <f t="shared" si="0"/>
        <v>2.390625</v>
      </c>
      <c r="Q22" s="141"/>
      <c r="R22" s="141"/>
      <c r="S22" s="141">
        <v>8.9</v>
      </c>
      <c r="T22" s="141">
        <v>2.15</v>
      </c>
      <c r="U22" s="141"/>
      <c r="V22" s="141"/>
      <c r="W22" s="141"/>
      <c r="X22" s="141">
        <f>S22*T22-P22</f>
        <v>16.744375000000002</v>
      </c>
      <c r="Y22" s="141"/>
    </row>
    <row r="23" spans="1:25" ht="30" customHeight="1" x14ac:dyDescent="0.25">
      <c r="A23" s="139" t="s">
        <v>277</v>
      </c>
      <c r="B23" s="139" t="s">
        <v>228</v>
      </c>
      <c r="C23" s="139" t="s">
        <v>1639</v>
      </c>
      <c r="D23" s="139" t="s">
        <v>3</v>
      </c>
      <c r="E23" s="190">
        <v>4.2</v>
      </c>
      <c r="F23" s="139" t="s">
        <v>4</v>
      </c>
      <c r="G23" s="6" t="s">
        <v>77</v>
      </c>
      <c r="H23" s="180" t="s">
        <v>738</v>
      </c>
      <c r="I23" s="6"/>
      <c r="J23" s="6" t="s">
        <v>194</v>
      </c>
      <c r="K23" s="5" t="s">
        <v>1448</v>
      </c>
      <c r="L23" s="139" t="s">
        <v>81</v>
      </c>
      <c r="M23" s="139" t="s">
        <v>7</v>
      </c>
      <c r="N23" s="139">
        <v>4250</v>
      </c>
      <c r="O23" s="139">
        <v>2125</v>
      </c>
      <c r="P23" s="292">
        <f t="shared" si="0"/>
        <v>9.03125</v>
      </c>
      <c r="Q23" s="141"/>
      <c r="R23" s="141"/>
      <c r="S23" s="141">
        <v>10.65</v>
      </c>
      <c r="T23" s="141">
        <v>2.2000000000000002</v>
      </c>
      <c r="U23" s="141">
        <f>S23*T23-P23</f>
        <v>14.398750000000003</v>
      </c>
      <c r="V23" s="141"/>
      <c r="W23" s="141"/>
      <c r="X23" s="141"/>
      <c r="Y23" s="141"/>
    </row>
    <row r="24" spans="1:25" ht="30" customHeight="1" x14ac:dyDescent="0.25">
      <c r="A24" s="139" t="s">
        <v>277</v>
      </c>
      <c r="B24" s="139" t="s">
        <v>228</v>
      </c>
      <c r="C24" s="139" t="s">
        <v>1640</v>
      </c>
      <c r="D24" s="139" t="s">
        <v>65</v>
      </c>
      <c r="E24" s="190">
        <v>1.3</v>
      </c>
      <c r="F24" s="139" t="s">
        <v>4</v>
      </c>
      <c r="G24" s="6" t="s">
        <v>77</v>
      </c>
      <c r="H24" s="180" t="s">
        <v>738</v>
      </c>
      <c r="I24" s="6"/>
      <c r="J24" s="6" t="s">
        <v>194</v>
      </c>
      <c r="K24" s="5" t="s">
        <v>1448</v>
      </c>
      <c r="L24" s="139" t="s">
        <v>81</v>
      </c>
      <c r="M24" s="139" t="s">
        <v>7</v>
      </c>
      <c r="N24" s="139">
        <v>750</v>
      </c>
      <c r="O24" s="139">
        <v>2125</v>
      </c>
      <c r="P24" s="292">
        <f t="shared" si="0"/>
        <v>1.59375</v>
      </c>
      <c r="Q24" s="141"/>
      <c r="R24" s="141"/>
      <c r="S24" s="141">
        <v>4.25</v>
      </c>
      <c r="T24" s="141">
        <v>2.2000000000000002</v>
      </c>
      <c r="U24" s="141"/>
      <c r="V24" s="141"/>
      <c r="W24" s="141"/>
      <c r="X24" s="141">
        <f>S24*T24-P24</f>
        <v>7.7562500000000014</v>
      </c>
      <c r="Y24" s="141"/>
    </row>
    <row r="25" spans="1:25" ht="30" customHeight="1" x14ac:dyDescent="0.25">
      <c r="A25" s="139" t="s">
        <v>277</v>
      </c>
      <c r="B25" s="139" t="s">
        <v>228</v>
      </c>
      <c r="C25" s="139" t="s">
        <v>1641</v>
      </c>
      <c r="D25" s="139" t="s">
        <v>685</v>
      </c>
      <c r="E25" s="190">
        <v>2.6</v>
      </c>
      <c r="F25" s="139" t="s">
        <v>4</v>
      </c>
      <c r="G25" s="6" t="s">
        <v>77</v>
      </c>
      <c r="H25" s="180" t="s">
        <v>738</v>
      </c>
      <c r="I25" s="6"/>
      <c r="J25" s="6" t="s">
        <v>194</v>
      </c>
      <c r="K25" s="5" t="s">
        <v>1448</v>
      </c>
      <c r="L25" s="139" t="s">
        <v>81</v>
      </c>
      <c r="M25" s="139" t="s">
        <v>7</v>
      </c>
      <c r="N25" s="139">
        <v>875</v>
      </c>
      <c r="O25" s="139">
        <v>2125</v>
      </c>
      <c r="P25" s="292">
        <f t="shared" si="0"/>
        <v>1.859375</v>
      </c>
      <c r="Q25" s="141"/>
      <c r="R25" s="141"/>
      <c r="S25" s="141">
        <v>6.6</v>
      </c>
      <c r="T25" s="141">
        <v>2.2000000000000002</v>
      </c>
      <c r="U25" s="141"/>
      <c r="V25" s="141"/>
      <c r="W25" s="141"/>
      <c r="X25" s="141">
        <f>S25*T25-P25</f>
        <v>12.660625</v>
      </c>
      <c r="Y25" s="141"/>
    </row>
    <row r="26" spans="1:25" ht="30" customHeight="1" x14ac:dyDescent="0.25">
      <c r="A26" s="139" t="s">
        <v>277</v>
      </c>
      <c r="B26" s="139" t="s">
        <v>228</v>
      </c>
      <c r="C26" s="139" t="s">
        <v>1642</v>
      </c>
      <c r="D26" s="139" t="s">
        <v>219</v>
      </c>
      <c r="E26" s="190">
        <v>1.8</v>
      </c>
      <c r="F26" s="139" t="s">
        <v>4</v>
      </c>
      <c r="G26" s="6" t="s">
        <v>77</v>
      </c>
      <c r="H26" s="180" t="s">
        <v>738</v>
      </c>
      <c r="I26" s="6"/>
      <c r="J26" s="6" t="s">
        <v>194</v>
      </c>
      <c r="K26" s="5" t="s">
        <v>1448</v>
      </c>
      <c r="L26" s="139" t="s">
        <v>81</v>
      </c>
      <c r="M26" s="139" t="s">
        <v>7</v>
      </c>
      <c r="N26" s="139">
        <v>875</v>
      </c>
      <c r="O26" s="139">
        <v>2125</v>
      </c>
      <c r="P26" s="292">
        <f t="shared" si="0"/>
        <v>1.859375</v>
      </c>
      <c r="Q26" s="141"/>
      <c r="R26" s="141"/>
      <c r="S26" s="141">
        <v>5.7</v>
      </c>
      <c r="T26" s="141">
        <v>2.2000000000000002</v>
      </c>
      <c r="U26" s="141"/>
      <c r="V26" s="141"/>
      <c r="W26" s="141"/>
      <c r="X26" s="141">
        <f>S26*T26-P26</f>
        <v>10.680625000000001</v>
      </c>
      <c r="Y26" s="141"/>
    </row>
    <row r="27" spans="1:25" ht="30" customHeight="1" x14ac:dyDescent="0.25">
      <c r="A27" s="139" t="s">
        <v>277</v>
      </c>
      <c r="B27" s="139" t="s">
        <v>228</v>
      </c>
      <c r="C27" s="139" t="s">
        <v>1643</v>
      </c>
      <c r="D27" s="139" t="s">
        <v>140</v>
      </c>
      <c r="E27" s="190">
        <v>19.100000000000001</v>
      </c>
      <c r="F27" s="139" t="s">
        <v>4</v>
      </c>
      <c r="G27" s="6" t="s">
        <v>77</v>
      </c>
      <c r="H27" s="180" t="s">
        <v>738</v>
      </c>
      <c r="I27" s="6"/>
      <c r="J27" s="6" t="s">
        <v>194</v>
      </c>
      <c r="K27" s="5" t="s">
        <v>1448</v>
      </c>
      <c r="L27" s="139" t="s">
        <v>10</v>
      </c>
      <c r="M27" s="139" t="s">
        <v>7</v>
      </c>
      <c r="N27" s="139">
        <v>875</v>
      </c>
      <c r="O27" s="139">
        <v>2125</v>
      </c>
      <c r="P27" s="292">
        <f t="shared" si="0"/>
        <v>1.859375</v>
      </c>
      <c r="Q27" s="141">
        <v>0.72</v>
      </c>
      <c r="R27" s="141">
        <v>0.72</v>
      </c>
      <c r="S27" s="141">
        <v>26.56</v>
      </c>
      <c r="T27" s="141">
        <v>2.4</v>
      </c>
      <c r="U27" s="141">
        <f>S27*T27-P27-Q820</f>
        <v>61.884624999999993</v>
      </c>
      <c r="V27" s="141"/>
      <c r="W27" s="141"/>
      <c r="X27" s="141"/>
      <c r="Y27" s="141"/>
    </row>
    <row r="28" spans="1:25" ht="30" customHeight="1" x14ac:dyDescent="0.25">
      <c r="A28" s="139" t="s">
        <v>277</v>
      </c>
      <c r="B28" s="139" t="s">
        <v>228</v>
      </c>
      <c r="C28" s="139" t="s">
        <v>1644</v>
      </c>
      <c r="D28" s="139" t="s">
        <v>3</v>
      </c>
      <c r="E28" s="190">
        <v>1.7</v>
      </c>
      <c r="F28" s="139" t="s">
        <v>4</v>
      </c>
      <c r="G28" s="6" t="s">
        <v>77</v>
      </c>
      <c r="H28" s="180" t="s">
        <v>738</v>
      </c>
      <c r="I28" s="6"/>
      <c r="J28" s="6" t="s">
        <v>194</v>
      </c>
      <c r="K28" s="5" t="s">
        <v>1448</v>
      </c>
      <c r="L28" s="139" t="s">
        <v>81</v>
      </c>
      <c r="M28" s="139" t="s">
        <v>7</v>
      </c>
      <c r="N28" s="139">
        <v>2500</v>
      </c>
      <c r="O28" s="139">
        <v>2125</v>
      </c>
      <c r="P28" s="292">
        <f t="shared" si="0"/>
        <v>5.3125</v>
      </c>
      <c r="Q28" s="141"/>
      <c r="R28" s="141"/>
      <c r="S28" s="141">
        <v>5.35</v>
      </c>
      <c r="T28" s="141">
        <v>2.4</v>
      </c>
      <c r="U28" s="141">
        <f>S28*T28-P28</f>
        <v>7.5274999999999981</v>
      </c>
      <c r="V28" s="141"/>
      <c r="W28" s="141"/>
      <c r="X28" s="141"/>
      <c r="Y28" s="141"/>
    </row>
    <row r="29" spans="1:25" ht="30" customHeight="1" x14ac:dyDescent="0.25">
      <c r="A29" s="139" t="s">
        <v>277</v>
      </c>
      <c r="B29" s="139" t="s">
        <v>228</v>
      </c>
      <c r="C29" s="139" t="s">
        <v>1645</v>
      </c>
      <c r="D29" s="139" t="s">
        <v>65</v>
      </c>
      <c r="E29" s="190">
        <v>1.5</v>
      </c>
      <c r="F29" s="139" t="s">
        <v>4</v>
      </c>
      <c r="G29" s="6" t="s">
        <v>77</v>
      </c>
      <c r="H29" s="180" t="s">
        <v>738</v>
      </c>
      <c r="I29" s="6"/>
      <c r="J29" s="6" t="s">
        <v>194</v>
      </c>
      <c r="K29" s="5" t="s">
        <v>1448</v>
      </c>
      <c r="L29" s="139" t="s">
        <v>81</v>
      </c>
      <c r="M29" s="139" t="s">
        <v>7</v>
      </c>
      <c r="N29" s="139">
        <v>750</v>
      </c>
      <c r="O29" s="139">
        <v>2125</v>
      </c>
      <c r="P29" s="292">
        <f t="shared" si="0"/>
        <v>1.59375</v>
      </c>
      <c r="Q29" s="141"/>
      <c r="R29" s="141"/>
      <c r="S29" s="141">
        <v>4.8499999999999996</v>
      </c>
      <c r="T29" s="141">
        <v>2.4</v>
      </c>
      <c r="U29" s="141"/>
      <c r="V29" s="141"/>
      <c r="W29" s="141"/>
      <c r="X29" s="141">
        <f>S29*T29-P29</f>
        <v>10.046249999999999</v>
      </c>
      <c r="Y29" s="141"/>
    </row>
    <row r="30" spans="1:25" ht="30" customHeight="1" x14ac:dyDescent="0.25">
      <c r="A30" s="139" t="s">
        <v>277</v>
      </c>
      <c r="B30" s="139" t="s">
        <v>228</v>
      </c>
      <c r="C30" s="139" t="s">
        <v>1646</v>
      </c>
      <c r="D30" s="139" t="s">
        <v>140</v>
      </c>
      <c r="E30" s="190">
        <v>26</v>
      </c>
      <c r="F30" s="139" t="s">
        <v>4</v>
      </c>
      <c r="G30" s="6" t="s">
        <v>77</v>
      </c>
      <c r="H30" s="180" t="s">
        <v>738</v>
      </c>
      <c r="I30" s="6"/>
      <c r="J30" s="6" t="s">
        <v>194</v>
      </c>
      <c r="K30" s="5" t="s">
        <v>1448</v>
      </c>
      <c r="L30" s="139" t="s">
        <v>10</v>
      </c>
      <c r="M30" s="139" t="s">
        <v>7</v>
      </c>
      <c r="N30" s="139">
        <v>1750</v>
      </c>
      <c r="O30" s="139">
        <v>2125</v>
      </c>
      <c r="P30" s="292">
        <f t="shared" si="0"/>
        <v>3.71875</v>
      </c>
      <c r="Q30" s="141">
        <v>0.72</v>
      </c>
      <c r="R30" s="141">
        <v>0.72</v>
      </c>
      <c r="S30" s="141">
        <v>27.55</v>
      </c>
      <c r="T30" s="141">
        <v>2.5</v>
      </c>
      <c r="U30" s="141">
        <f>S30*T30-P30-Q30</f>
        <v>64.436250000000001</v>
      </c>
      <c r="V30" s="141"/>
      <c r="W30" s="141"/>
      <c r="X30" s="141"/>
      <c r="Y30" s="141"/>
    </row>
    <row r="31" spans="1:25" ht="30" customHeight="1" x14ac:dyDescent="0.25">
      <c r="A31" s="139" t="s">
        <v>277</v>
      </c>
      <c r="B31" s="139" t="s">
        <v>228</v>
      </c>
      <c r="C31" s="139" t="s">
        <v>1647</v>
      </c>
      <c r="D31" s="139" t="s">
        <v>685</v>
      </c>
      <c r="E31" s="190">
        <v>3.2</v>
      </c>
      <c r="F31" s="139" t="s">
        <v>4</v>
      </c>
      <c r="G31" s="6" t="s">
        <v>77</v>
      </c>
      <c r="H31" s="180" t="s">
        <v>738</v>
      </c>
      <c r="I31" s="6"/>
      <c r="J31" s="6" t="s">
        <v>194</v>
      </c>
      <c r="K31" s="5" t="s">
        <v>1448</v>
      </c>
      <c r="L31" s="139" t="s">
        <v>81</v>
      </c>
      <c r="M31" s="139" t="s">
        <v>7</v>
      </c>
      <c r="N31" s="139">
        <v>875</v>
      </c>
      <c r="O31" s="139">
        <v>2125</v>
      </c>
      <c r="P31" s="292">
        <f t="shared" si="0"/>
        <v>1.859375</v>
      </c>
      <c r="Q31" s="141"/>
      <c r="R31" s="141"/>
      <c r="S31" s="141">
        <v>7.7</v>
      </c>
      <c r="T31" s="141">
        <v>2.4</v>
      </c>
      <c r="U31" s="141"/>
      <c r="V31" s="141"/>
      <c r="W31" s="141"/>
      <c r="X31" s="141">
        <f>S31*T31-P31</f>
        <v>16.620625</v>
      </c>
      <c r="Y31" s="141">
        <v>5.16</v>
      </c>
    </row>
    <row r="32" spans="1:25" s="282" customFormat="1" ht="17.25" x14ac:dyDescent="0.25">
      <c r="B32" s="280" t="s">
        <v>1551</v>
      </c>
      <c r="E32" s="290">
        <f>SUM(E5:E31)</f>
        <v>214.09999999999997</v>
      </c>
      <c r="F32" s="281" t="s">
        <v>1560</v>
      </c>
      <c r="H32"/>
      <c r="K32" s="291"/>
      <c r="P32" s="293"/>
    </row>
    <row r="33" spans="1:26" ht="30" customHeight="1" x14ac:dyDescent="0.25">
      <c r="A33" s="151" t="s">
        <v>1539</v>
      </c>
      <c r="B33" s="151" t="s">
        <v>278</v>
      </c>
      <c r="C33" s="151" t="s">
        <v>1648</v>
      </c>
      <c r="D33" s="151" t="s">
        <v>3</v>
      </c>
      <c r="E33" s="248">
        <v>2.5</v>
      </c>
      <c r="F33" s="151" t="s">
        <v>4</v>
      </c>
      <c r="G33" s="6" t="s">
        <v>77</v>
      </c>
      <c r="H33" s="181" t="s">
        <v>738</v>
      </c>
      <c r="I33" s="6"/>
      <c r="J33" s="6" t="s">
        <v>194</v>
      </c>
      <c r="K33" s="5" t="s">
        <v>1448</v>
      </c>
      <c r="L33" s="179" t="s">
        <v>6</v>
      </c>
      <c r="M33" s="6" t="s">
        <v>7</v>
      </c>
      <c r="N33" s="150">
        <v>3375</v>
      </c>
      <c r="O33" s="150">
        <v>2125</v>
      </c>
      <c r="P33" s="16">
        <f t="shared" ref="P33:P48" si="1">N33*O33*0.000001</f>
        <v>7.171875</v>
      </c>
      <c r="Q33" s="12"/>
      <c r="R33" s="12"/>
      <c r="S33" s="12">
        <v>8.64</v>
      </c>
      <c r="T33" s="12">
        <v>2.2999999999999998</v>
      </c>
      <c r="U33" s="12">
        <f>S33*T33-X33-Q33-P33</f>
        <v>9.5501250000000013</v>
      </c>
      <c r="V33" s="12"/>
      <c r="W33" s="12"/>
      <c r="X33" s="12">
        <v>3.15</v>
      </c>
      <c r="Y33" s="12"/>
      <c r="Z33" s="14"/>
    </row>
    <row r="34" spans="1:26" ht="30" customHeight="1" x14ac:dyDescent="0.25">
      <c r="A34" s="151" t="s">
        <v>1539</v>
      </c>
      <c r="B34" s="151" t="s">
        <v>278</v>
      </c>
      <c r="C34" s="151" t="s">
        <v>1649</v>
      </c>
      <c r="D34" s="151" t="s">
        <v>65</v>
      </c>
      <c r="E34" s="248">
        <v>1.1000000000000001</v>
      </c>
      <c r="F34" s="151" t="s">
        <v>4</v>
      </c>
      <c r="G34" s="6" t="s">
        <v>77</v>
      </c>
      <c r="H34" s="181" t="s">
        <v>738</v>
      </c>
      <c r="I34" s="6"/>
      <c r="J34" s="6" t="s">
        <v>194</v>
      </c>
      <c r="K34" s="5" t="s">
        <v>1448</v>
      </c>
      <c r="L34" s="179" t="s">
        <v>6</v>
      </c>
      <c r="M34" s="6" t="s">
        <v>7</v>
      </c>
      <c r="N34" s="150">
        <v>750</v>
      </c>
      <c r="O34" s="150">
        <v>2125</v>
      </c>
      <c r="P34" s="16">
        <f t="shared" si="1"/>
        <v>1.59375</v>
      </c>
      <c r="Q34" s="12"/>
      <c r="R34" s="12"/>
      <c r="S34" s="12">
        <v>3.96</v>
      </c>
      <c r="T34" s="12">
        <v>2.2999999999999998</v>
      </c>
      <c r="U34" s="12"/>
      <c r="V34" s="12"/>
      <c r="W34" s="12"/>
      <c r="X34" s="12">
        <f>S34*T34-P34</f>
        <v>7.5142499999999988</v>
      </c>
      <c r="Y34" s="12"/>
      <c r="Z34" s="14"/>
    </row>
    <row r="35" spans="1:26" s="107" customFormat="1" ht="30" customHeight="1" x14ac:dyDescent="0.25">
      <c r="A35" s="151" t="s">
        <v>1539</v>
      </c>
      <c r="B35" s="151" t="s">
        <v>278</v>
      </c>
      <c r="C35" s="151" t="s">
        <v>1650</v>
      </c>
      <c r="D35" s="151" t="s">
        <v>140</v>
      </c>
      <c r="E35" s="248">
        <v>27.3</v>
      </c>
      <c r="F35" s="151" t="s">
        <v>4</v>
      </c>
      <c r="G35" s="6" t="s">
        <v>77</v>
      </c>
      <c r="H35" s="181" t="s">
        <v>738</v>
      </c>
      <c r="I35" s="6"/>
      <c r="J35" s="6" t="s">
        <v>194</v>
      </c>
      <c r="K35" s="5" t="s">
        <v>1448</v>
      </c>
      <c r="L35" s="179" t="s">
        <v>10</v>
      </c>
      <c r="M35" s="6" t="s">
        <v>7</v>
      </c>
      <c r="N35" s="150">
        <v>875</v>
      </c>
      <c r="O35" s="150">
        <v>2125</v>
      </c>
      <c r="P35" s="16">
        <f t="shared" si="1"/>
        <v>1.859375</v>
      </c>
      <c r="Q35" s="12"/>
      <c r="R35" s="12"/>
      <c r="S35" s="12">
        <v>21.13</v>
      </c>
      <c r="T35" s="12">
        <v>2.2999999999999998</v>
      </c>
      <c r="U35" s="12">
        <f>S35*T35-P35</f>
        <v>46.739624999999997</v>
      </c>
      <c r="V35" s="12"/>
      <c r="W35" s="12"/>
      <c r="X35" s="12"/>
      <c r="Y35" s="12"/>
      <c r="Z35" s="221"/>
    </row>
    <row r="36" spans="1:26" ht="30" customHeight="1" x14ac:dyDescent="0.25">
      <c r="A36" s="151" t="s">
        <v>1539</v>
      </c>
      <c r="B36" s="151" t="s">
        <v>278</v>
      </c>
      <c r="C36" s="151" t="s">
        <v>1651</v>
      </c>
      <c r="D36" s="151" t="s">
        <v>220</v>
      </c>
      <c r="E36" s="248">
        <v>6.9</v>
      </c>
      <c r="F36" s="151" t="s">
        <v>4</v>
      </c>
      <c r="G36" s="6" t="s">
        <v>77</v>
      </c>
      <c r="H36" s="181" t="s">
        <v>738</v>
      </c>
      <c r="I36" s="6"/>
      <c r="J36" s="6" t="s">
        <v>194</v>
      </c>
      <c r="K36" s="5" t="s">
        <v>1448</v>
      </c>
      <c r="L36" s="179" t="s">
        <v>81</v>
      </c>
      <c r="M36" s="6" t="s">
        <v>7</v>
      </c>
      <c r="N36" s="150">
        <v>875</v>
      </c>
      <c r="O36" s="150">
        <v>2125</v>
      </c>
      <c r="P36" s="16">
        <f t="shared" si="1"/>
        <v>1.859375</v>
      </c>
      <c r="Q36" s="12"/>
      <c r="R36" s="12"/>
      <c r="S36" s="12">
        <v>13.71</v>
      </c>
      <c r="T36" s="12">
        <v>2.2999999999999998</v>
      </c>
      <c r="U36" s="12"/>
      <c r="V36" s="12"/>
      <c r="W36" s="12"/>
      <c r="X36" s="12">
        <f>S36*T36-P36</f>
        <v>29.673625000000001</v>
      </c>
      <c r="Y36" s="12">
        <v>4.8</v>
      </c>
      <c r="Z36" s="14"/>
    </row>
    <row r="37" spans="1:26" ht="30" customHeight="1" x14ac:dyDescent="0.25">
      <c r="A37" s="151" t="s">
        <v>1539</v>
      </c>
      <c r="B37" s="151" t="s">
        <v>278</v>
      </c>
      <c r="C37" s="151" t="s">
        <v>1652</v>
      </c>
      <c r="D37" s="151" t="s">
        <v>3</v>
      </c>
      <c r="E37" s="248">
        <v>3.3</v>
      </c>
      <c r="F37" s="151" t="s">
        <v>4</v>
      </c>
      <c r="G37" s="6" t="s">
        <v>77</v>
      </c>
      <c r="H37" s="181" t="s">
        <v>738</v>
      </c>
      <c r="I37" s="6"/>
      <c r="J37" s="6" t="s">
        <v>194</v>
      </c>
      <c r="K37" s="5" t="s">
        <v>1448</v>
      </c>
      <c r="L37" s="179" t="s">
        <v>6</v>
      </c>
      <c r="M37" s="6" t="s">
        <v>7</v>
      </c>
      <c r="N37" s="150">
        <v>3375</v>
      </c>
      <c r="O37" s="150">
        <v>2125</v>
      </c>
      <c r="P37" s="16">
        <f t="shared" si="1"/>
        <v>7.171875</v>
      </c>
      <c r="Q37" s="12"/>
      <c r="R37" s="12"/>
      <c r="S37" s="12">
        <v>8.4600000000000009</v>
      </c>
      <c r="T37" s="12">
        <v>2.2999999999999998</v>
      </c>
      <c r="U37" s="12">
        <f>S37*T37-X37-Q37-P37</f>
        <v>9.3461250000000007</v>
      </c>
      <c r="V37" s="12"/>
      <c r="W37" s="12"/>
      <c r="X37" s="12">
        <v>2.94</v>
      </c>
      <c r="Y37" s="12"/>
      <c r="Z37" s="14"/>
    </row>
    <row r="38" spans="1:26" ht="30" customHeight="1" x14ac:dyDescent="0.25">
      <c r="A38" s="151" t="s">
        <v>1539</v>
      </c>
      <c r="B38" s="151" t="s">
        <v>278</v>
      </c>
      <c r="C38" s="151" t="s">
        <v>1653</v>
      </c>
      <c r="D38" s="151" t="s">
        <v>65</v>
      </c>
      <c r="E38" s="248">
        <v>1.1000000000000001</v>
      </c>
      <c r="F38" s="151" t="s">
        <v>4</v>
      </c>
      <c r="G38" s="6" t="s">
        <v>77</v>
      </c>
      <c r="H38" s="181" t="s">
        <v>738</v>
      </c>
      <c r="I38" s="6"/>
      <c r="J38" s="6" t="s">
        <v>194</v>
      </c>
      <c r="K38" s="5" t="s">
        <v>1448</v>
      </c>
      <c r="L38" s="179" t="s">
        <v>6</v>
      </c>
      <c r="M38" s="6" t="s">
        <v>7</v>
      </c>
      <c r="N38" s="150">
        <v>750</v>
      </c>
      <c r="O38" s="150">
        <v>2125</v>
      </c>
      <c r="P38" s="16">
        <f t="shared" si="1"/>
        <v>1.59375</v>
      </c>
      <c r="Q38" s="12"/>
      <c r="R38" s="12"/>
      <c r="S38" s="12">
        <v>3.96</v>
      </c>
      <c r="T38" s="12">
        <v>2.2999999999999998</v>
      </c>
      <c r="U38" s="12"/>
      <c r="V38" s="12"/>
      <c r="W38" s="12"/>
      <c r="X38" s="12">
        <f>S38*T38-P38</f>
        <v>7.5142499999999988</v>
      </c>
      <c r="Y38" s="12"/>
      <c r="Z38" s="14"/>
    </row>
    <row r="39" spans="1:26" ht="30" customHeight="1" x14ac:dyDescent="0.25">
      <c r="A39" s="151" t="s">
        <v>1539</v>
      </c>
      <c r="B39" s="151" t="s">
        <v>278</v>
      </c>
      <c r="C39" s="151" t="s">
        <v>1654</v>
      </c>
      <c r="D39" s="151" t="s">
        <v>140</v>
      </c>
      <c r="E39" s="248">
        <v>23.8</v>
      </c>
      <c r="F39" s="151" t="s">
        <v>4</v>
      </c>
      <c r="G39" s="6" t="s">
        <v>77</v>
      </c>
      <c r="H39" s="181" t="s">
        <v>738</v>
      </c>
      <c r="I39" s="6"/>
      <c r="J39" s="6" t="s">
        <v>194</v>
      </c>
      <c r="K39" s="5" t="s">
        <v>1448</v>
      </c>
      <c r="L39" s="179" t="s">
        <v>10</v>
      </c>
      <c r="M39" s="6" t="s">
        <v>7</v>
      </c>
      <c r="N39" s="150">
        <v>875</v>
      </c>
      <c r="O39" s="150">
        <v>2125</v>
      </c>
      <c r="P39" s="16">
        <f t="shared" si="1"/>
        <v>1.859375</v>
      </c>
      <c r="Q39" s="12"/>
      <c r="R39" s="12"/>
      <c r="S39" s="12">
        <v>19.37</v>
      </c>
      <c r="T39" s="12">
        <v>2.2999999999999998</v>
      </c>
      <c r="U39" s="12">
        <f>S39*T39-P39</f>
        <v>42.691625000000002</v>
      </c>
      <c r="V39" s="12"/>
      <c r="W39" s="12"/>
      <c r="X39" s="12"/>
      <c r="Y39" s="12"/>
      <c r="Z39" s="14"/>
    </row>
    <row r="40" spans="1:26" ht="30" customHeight="1" x14ac:dyDescent="0.25">
      <c r="A40" s="151" t="s">
        <v>1539</v>
      </c>
      <c r="B40" s="151" t="s">
        <v>278</v>
      </c>
      <c r="C40" s="151" t="s">
        <v>1655</v>
      </c>
      <c r="D40" s="151" t="s">
        <v>220</v>
      </c>
      <c r="E40" s="248">
        <v>6.9</v>
      </c>
      <c r="F40" s="151" t="s">
        <v>4</v>
      </c>
      <c r="G40" s="6" t="s">
        <v>77</v>
      </c>
      <c r="H40" s="181" t="s">
        <v>738</v>
      </c>
      <c r="I40" s="6"/>
      <c r="J40" s="6" t="s">
        <v>194</v>
      </c>
      <c r="K40" s="5" t="s">
        <v>1448</v>
      </c>
      <c r="L40" s="179" t="s">
        <v>81</v>
      </c>
      <c r="M40" s="6" t="s">
        <v>7</v>
      </c>
      <c r="N40" s="150">
        <v>875</v>
      </c>
      <c r="O40" s="150">
        <v>2125</v>
      </c>
      <c r="P40" s="16">
        <f t="shared" si="1"/>
        <v>1.859375</v>
      </c>
      <c r="Q40" s="12"/>
      <c r="R40" s="12"/>
      <c r="S40" s="12">
        <v>13.86</v>
      </c>
      <c r="T40" s="12">
        <v>2.2999999999999998</v>
      </c>
      <c r="U40" s="12"/>
      <c r="V40" s="12"/>
      <c r="W40" s="12"/>
      <c r="X40" s="12">
        <f>S40*T40-P40</f>
        <v>30.018624999999997</v>
      </c>
      <c r="Y40" s="12">
        <v>4.8</v>
      </c>
      <c r="Z40" s="14"/>
    </row>
    <row r="41" spans="1:26" ht="30" customHeight="1" x14ac:dyDescent="0.25">
      <c r="A41" s="151" t="s">
        <v>1539</v>
      </c>
      <c r="B41" s="151" t="s">
        <v>278</v>
      </c>
      <c r="C41" s="151" t="s">
        <v>1656</v>
      </c>
      <c r="D41" s="151" t="s">
        <v>3</v>
      </c>
      <c r="E41" s="248">
        <v>3.3</v>
      </c>
      <c r="F41" s="151" t="s">
        <v>4</v>
      </c>
      <c r="G41" s="6" t="s">
        <v>77</v>
      </c>
      <c r="H41" s="181" t="s">
        <v>738</v>
      </c>
      <c r="I41" s="6"/>
      <c r="J41" s="6" t="s">
        <v>194</v>
      </c>
      <c r="K41" s="5" t="s">
        <v>1448</v>
      </c>
      <c r="L41" s="179" t="s">
        <v>6</v>
      </c>
      <c r="M41" s="6" t="s">
        <v>7</v>
      </c>
      <c r="N41" s="150">
        <v>3375</v>
      </c>
      <c r="O41" s="150">
        <v>2125</v>
      </c>
      <c r="P41" s="16">
        <f t="shared" si="1"/>
        <v>7.171875</v>
      </c>
      <c r="Q41" s="12"/>
      <c r="R41" s="12"/>
      <c r="S41" s="12">
        <v>8.4600000000000009</v>
      </c>
      <c r="T41" s="12">
        <v>2.2999999999999998</v>
      </c>
      <c r="U41" s="12">
        <f>S41*T41-X41-Q41-P41</f>
        <v>9.3461250000000007</v>
      </c>
      <c r="V41" s="12"/>
      <c r="W41" s="12"/>
      <c r="X41" s="12">
        <v>2.94</v>
      </c>
      <c r="Y41" s="12"/>
      <c r="Z41" s="14"/>
    </row>
    <row r="42" spans="1:26" ht="30" customHeight="1" x14ac:dyDescent="0.25">
      <c r="A42" s="151" t="s">
        <v>1539</v>
      </c>
      <c r="B42" s="151" t="s">
        <v>278</v>
      </c>
      <c r="C42" s="151" t="s">
        <v>1657</v>
      </c>
      <c r="D42" s="151" t="s">
        <v>65</v>
      </c>
      <c r="E42" s="248">
        <v>1.1000000000000001</v>
      </c>
      <c r="F42" s="151" t="s">
        <v>4</v>
      </c>
      <c r="G42" s="6" t="s">
        <v>77</v>
      </c>
      <c r="H42" s="181" t="s">
        <v>738</v>
      </c>
      <c r="I42" s="6"/>
      <c r="J42" s="6" t="s">
        <v>194</v>
      </c>
      <c r="K42" s="5" t="s">
        <v>1448</v>
      </c>
      <c r="L42" s="179" t="s">
        <v>6</v>
      </c>
      <c r="M42" s="6" t="s">
        <v>7</v>
      </c>
      <c r="N42" s="150">
        <v>750</v>
      </c>
      <c r="O42" s="150">
        <v>2125</v>
      </c>
      <c r="P42" s="16">
        <f t="shared" si="1"/>
        <v>1.59375</v>
      </c>
      <c r="Q42" s="12"/>
      <c r="R42" s="12"/>
      <c r="S42" s="12">
        <v>3.96</v>
      </c>
      <c r="T42" s="12">
        <v>2.2999999999999998</v>
      </c>
      <c r="U42" s="12"/>
      <c r="V42" s="12"/>
      <c r="W42" s="12"/>
      <c r="X42" s="12">
        <f>S42*T42-P42</f>
        <v>7.5142499999999988</v>
      </c>
      <c r="Y42" s="12"/>
      <c r="Z42" s="14"/>
    </row>
    <row r="43" spans="1:26" ht="30" customHeight="1" x14ac:dyDescent="0.25">
      <c r="A43" s="151" t="s">
        <v>1539</v>
      </c>
      <c r="B43" s="151" t="s">
        <v>278</v>
      </c>
      <c r="C43" s="151" t="s">
        <v>1658</v>
      </c>
      <c r="D43" s="151" t="s">
        <v>140</v>
      </c>
      <c r="E43" s="248">
        <v>23.6</v>
      </c>
      <c r="F43" s="151" t="s">
        <v>4</v>
      </c>
      <c r="G43" s="6" t="s">
        <v>77</v>
      </c>
      <c r="H43" s="181" t="s">
        <v>738</v>
      </c>
      <c r="I43" s="6"/>
      <c r="J43" s="6" t="s">
        <v>194</v>
      </c>
      <c r="K43" s="5" t="s">
        <v>1448</v>
      </c>
      <c r="L43" s="179" t="s">
        <v>10</v>
      </c>
      <c r="M43" s="6" t="s">
        <v>7</v>
      </c>
      <c r="N43" s="150">
        <v>875</v>
      </c>
      <c r="O43" s="150">
        <v>2125</v>
      </c>
      <c r="P43" s="16">
        <f t="shared" si="1"/>
        <v>1.859375</v>
      </c>
      <c r="Q43" s="12"/>
      <c r="R43" s="12"/>
      <c r="S43" s="12">
        <v>19.38</v>
      </c>
      <c r="T43" s="12">
        <v>2.2999999999999998</v>
      </c>
      <c r="U43" s="12">
        <f>S43*T43-P43</f>
        <v>42.714624999999991</v>
      </c>
      <c r="V43" s="12"/>
      <c r="W43" s="12"/>
      <c r="X43" s="12"/>
      <c r="Y43" s="12"/>
      <c r="Z43" s="14"/>
    </row>
    <row r="44" spans="1:26" ht="30" customHeight="1" x14ac:dyDescent="0.25">
      <c r="A44" s="151" t="s">
        <v>1539</v>
      </c>
      <c r="B44" s="151" t="s">
        <v>278</v>
      </c>
      <c r="C44" s="151" t="s">
        <v>1659</v>
      </c>
      <c r="D44" s="151" t="s">
        <v>220</v>
      </c>
      <c r="E44" s="248">
        <v>6.9</v>
      </c>
      <c r="F44" s="151" t="s">
        <v>4</v>
      </c>
      <c r="G44" s="6" t="s">
        <v>77</v>
      </c>
      <c r="H44" s="181" t="s">
        <v>738</v>
      </c>
      <c r="I44" s="6"/>
      <c r="J44" s="6" t="s">
        <v>194</v>
      </c>
      <c r="K44" s="5" t="s">
        <v>1448</v>
      </c>
      <c r="L44" s="179" t="s">
        <v>81</v>
      </c>
      <c r="M44" s="6" t="s">
        <v>7</v>
      </c>
      <c r="N44" s="150">
        <v>875</v>
      </c>
      <c r="O44" s="150">
        <v>2125</v>
      </c>
      <c r="P44" s="16">
        <f t="shared" si="1"/>
        <v>1.859375</v>
      </c>
      <c r="Q44" s="12"/>
      <c r="R44" s="12"/>
      <c r="S44" s="12">
        <v>13.86</v>
      </c>
      <c r="T44" s="12">
        <v>2.2999999999999998</v>
      </c>
      <c r="U44" s="12"/>
      <c r="V44" s="12"/>
      <c r="W44" s="12"/>
      <c r="X44" s="12">
        <f>S44*T44-P44</f>
        <v>30.018624999999997</v>
      </c>
      <c r="Y44" s="12">
        <v>4.8</v>
      </c>
      <c r="Z44" s="14"/>
    </row>
    <row r="45" spans="1:26" ht="30" customHeight="1" x14ac:dyDescent="0.25">
      <c r="A45" s="151" t="s">
        <v>1539</v>
      </c>
      <c r="B45" s="151" t="s">
        <v>278</v>
      </c>
      <c r="C45" s="151" t="s">
        <v>1660</v>
      </c>
      <c r="D45" s="151" t="s">
        <v>3</v>
      </c>
      <c r="E45" s="248">
        <v>4.7</v>
      </c>
      <c r="F45" s="151" t="s">
        <v>4</v>
      </c>
      <c r="G45" s="6" t="s">
        <v>77</v>
      </c>
      <c r="H45" s="181" t="s">
        <v>738</v>
      </c>
      <c r="I45" s="6"/>
      <c r="J45" s="6" t="s">
        <v>194</v>
      </c>
      <c r="K45" s="5" t="s">
        <v>1448</v>
      </c>
      <c r="L45" s="179" t="s">
        <v>6</v>
      </c>
      <c r="M45" s="6" t="s">
        <v>7</v>
      </c>
      <c r="N45" s="150">
        <v>3375</v>
      </c>
      <c r="O45" s="150">
        <v>2125</v>
      </c>
      <c r="P45" s="16">
        <f t="shared" si="1"/>
        <v>7.171875</v>
      </c>
      <c r="Q45" s="12"/>
      <c r="R45" s="12"/>
      <c r="S45" s="12">
        <v>8.27</v>
      </c>
      <c r="T45" s="12">
        <v>2.2999999999999998</v>
      </c>
      <c r="U45" s="12">
        <f>S45*T45-X45-Q45-P45</f>
        <v>9.9591249999999967</v>
      </c>
      <c r="V45" s="12"/>
      <c r="W45" s="12"/>
      <c r="X45" s="12">
        <v>1.89</v>
      </c>
      <c r="Y45" s="12"/>
      <c r="Z45" s="14"/>
    </row>
    <row r="46" spans="1:26" ht="30" customHeight="1" x14ac:dyDescent="0.25">
      <c r="A46" s="151" t="s">
        <v>1539</v>
      </c>
      <c r="B46" s="151" t="s">
        <v>278</v>
      </c>
      <c r="C46" s="151" t="s">
        <v>1661</v>
      </c>
      <c r="D46" s="151" t="s">
        <v>65</v>
      </c>
      <c r="E46" s="248">
        <v>1.1000000000000001</v>
      </c>
      <c r="F46" s="151" t="s">
        <v>4</v>
      </c>
      <c r="G46" s="6" t="s">
        <v>77</v>
      </c>
      <c r="H46" s="181" t="s">
        <v>738</v>
      </c>
      <c r="I46" s="6"/>
      <c r="J46" s="6" t="s">
        <v>194</v>
      </c>
      <c r="K46" s="5" t="s">
        <v>1448</v>
      </c>
      <c r="L46" s="179" t="s">
        <v>6</v>
      </c>
      <c r="M46" s="6" t="s">
        <v>7</v>
      </c>
      <c r="N46" s="150">
        <v>750</v>
      </c>
      <c r="O46" s="150">
        <v>2125</v>
      </c>
      <c r="P46" s="16">
        <f t="shared" si="1"/>
        <v>1.59375</v>
      </c>
      <c r="Q46" s="12"/>
      <c r="R46" s="12"/>
      <c r="S46" s="12">
        <v>3.96</v>
      </c>
      <c r="T46" s="12">
        <v>2.2999999999999998</v>
      </c>
      <c r="U46" s="12"/>
      <c r="V46" s="12"/>
      <c r="W46" s="12"/>
      <c r="X46" s="12">
        <f>S46*T46-P46</f>
        <v>7.5142499999999988</v>
      </c>
      <c r="Y46" s="12"/>
      <c r="Z46" s="14"/>
    </row>
    <row r="47" spans="1:26" ht="30" customHeight="1" x14ac:dyDescent="0.25">
      <c r="A47" s="151" t="s">
        <v>1539</v>
      </c>
      <c r="B47" s="151" t="s">
        <v>278</v>
      </c>
      <c r="C47" s="151" t="s">
        <v>1662</v>
      </c>
      <c r="D47" s="151" t="s">
        <v>220</v>
      </c>
      <c r="E47" s="248">
        <v>6.9</v>
      </c>
      <c r="F47" s="151" t="s">
        <v>4</v>
      </c>
      <c r="G47" s="6" t="s">
        <v>77</v>
      </c>
      <c r="H47" s="181" t="s">
        <v>738</v>
      </c>
      <c r="I47" s="6"/>
      <c r="J47" s="6" t="s">
        <v>194</v>
      </c>
      <c r="K47" s="5" t="s">
        <v>1448</v>
      </c>
      <c r="L47" s="179" t="s">
        <v>81</v>
      </c>
      <c r="M47" s="6" t="s">
        <v>7</v>
      </c>
      <c r="N47" s="150">
        <v>875</v>
      </c>
      <c r="O47" s="150">
        <v>2125</v>
      </c>
      <c r="P47" s="16">
        <f t="shared" si="1"/>
        <v>1.859375</v>
      </c>
      <c r="Q47" s="12"/>
      <c r="R47" s="12"/>
      <c r="S47" s="12">
        <v>21.12</v>
      </c>
      <c r="T47" s="12">
        <v>2.2999999999999998</v>
      </c>
      <c r="U47" s="12">
        <f>S47*T47-P47</f>
        <v>46.716625000000001</v>
      </c>
      <c r="V47" s="12"/>
      <c r="W47" s="12"/>
      <c r="X47" s="12"/>
      <c r="Y47" s="12"/>
      <c r="Z47" s="14"/>
    </row>
    <row r="48" spans="1:26" ht="30" customHeight="1" x14ac:dyDescent="0.25">
      <c r="A48" s="151" t="s">
        <v>1539</v>
      </c>
      <c r="B48" s="151" t="s">
        <v>278</v>
      </c>
      <c r="C48" s="151" t="s">
        <v>1663</v>
      </c>
      <c r="D48" s="151" t="s">
        <v>140</v>
      </c>
      <c r="E48" s="248">
        <v>27.3</v>
      </c>
      <c r="F48" s="151" t="s">
        <v>4</v>
      </c>
      <c r="G48" s="6" t="s">
        <v>77</v>
      </c>
      <c r="H48" s="181" t="s">
        <v>738</v>
      </c>
      <c r="I48" s="6"/>
      <c r="J48" s="6" t="s">
        <v>194</v>
      </c>
      <c r="K48" s="5" t="s">
        <v>1448</v>
      </c>
      <c r="L48" s="179" t="s">
        <v>10</v>
      </c>
      <c r="M48" s="6" t="s">
        <v>7</v>
      </c>
      <c r="N48" s="150">
        <v>875</v>
      </c>
      <c r="O48" s="150">
        <v>2125</v>
      </c>
      <c r="P48" s="16">
        <f t="shared" si="1"/>
        <v>1.859375</v>
      </c>
      <c r="Q48" s="12"/>
      <c r="R48" s="12"/>
      <c r="S48" s="12">
        <v>13.69</v>
      </c>
      <c r="T48" s="12">
        <v>2.2999999999999998</v>
      </c>
      <c r="U48" s="12"/>
      <c r="V48" s="12"/>
      <c r="W48" s="12"/>
      <c r="X48" s="12">
        <f>S48*T48-P48</f>
        <v>29.627624999999995</v>
      </c>
      <c r="Y48" s="12">
        <v>4.8</v>
      </c>
      <c r="Z48" s="14"/>
    </row>
    <row r="49" spans="2:6" ht="17.25" x14ac:dyDescent="0.25">
      <c r="B49" s="280" t="s">
        <v>1555</v>
      </c>
      <c r="E49" s="286">
        <f>SUM(E33:E48)</f>
        <v>147.80000000000001</v>
      </c>
      <c r="F49" s="281" t="s">
        <v>1560</v>
      </c>
    </row>
    <row r="50" spans="2:6" ht="17.25" x14ac:dyDescent="0.25">
      <c r="C50" s="280" t="s">
        <v>1550</v>
      </c>
      <c r="E50" s="286">
        <f>E32+E49</f>
        <v>361.9</v>
      </c>
      <c r="F50" s="281" t="s">
        <v>1560</v>
      </c>
    </row>
    <row r="52" spans="2:6" x14ac:dyDescent="0.25">
      <c r="C52" s="278" t="s">
        <v>1807</v>
      </c>
      <c r="D52" s="342"/>
      <c r="E52" s="358"/>
      <c r="F52" s="65"/>
    </row>
    <row r="53" spans="2:6" ht="17.25" x14ac:dyDescent="0.25">
      <c r="C53" s="65"/>
      <c r="D53" s="358" t="s">
        <v>1808</v>
      </c>
      <c r="E53" s="345">
        <v>0</v>
      </c>
      <c r="F53" s="342" t="s">
        <v>1560</v>
      </c>
    </row>
    <row r="54" spans="2:6" ht="17.25" x14ac:dyDescent="0.25">
      <c r="C54" s="65"/>
      <c r="D54" s="358" t="s">
        <v>37</v>
      </c>
      <c r="E54" s="345">
        <v>0</v>
      </c>
      <c r="F54" s="342" t="s">
        <v>1560</v>
      </c>
    </row>
    <row r="55" spans="2:6" ht="17.25" x14ac:dyDescent="0.25">
      <c r="C55" s="65"/>
      <c r="D55" s="358" t="s">
        <v>77</v>
      </c>
      <c r="E55" s="345">
        <f>E50</f>
        <v>361.9</v>
      </c>
      <c r="F55" s="342" t="s">
        <v>1560</v>
      </c>
    </row>
    <row r="56" spans="2:6" ht="17.25" x14ac:dyDescent="0.25">
      <c r="C56" s="65"/>
      <c r="D56" s="358" t="s">
        <v>229</v>
      </c>
      <c r="E56" s="345">
        <v>0</v>
      </c>
      <c r="F56" s="342" t="s">
        <v>1560</v>
      </c>
    </row>
    <row r="57" spans="2:6" ht="17.25" x14ac:dyDescent="0.25">
      <c r="C57" s="65"/>
      <c r="D57" s="359" t="s">
        <v>274</v>
      </c>
      <c r="E57" s="345">
        <f>SUM(E53:E56)</f>
        <v>361.9</v>
      </c>
      <c r="F57" s="342" t="s">
        <v>1560</v>
      </c>
    </row>
    <row r="59" spans="2:6" x14ac:dyDescent="0.25">
      <c r="C59" s="284" t="s">
        <v>1988</v>
      </c>
    </row>
    <row r="60" spans="2:6" x14ac:dyDescent="0.25">
      <c r="C60" s="278" t="s">
        <v>2020</v>
      </c>
      <c r="D60" s="15"/>
    </row>
    <row r="61" spans="2:6" x14ac:dyDescent="0.25">
      <c r="C61" s="504"/>
      <c r="D61" s="305"/>
      <c r="E61" s="503" t="s">
        <v>2019</v>
      </c>
    </row>
    <row r="62" spans="2:6" x14ac:dyDescent="0.25">
      <c r="C62" s="284" t="s">
        <v>2083</v>
      </c>
    </row>
    <row r="63" spans="2:6" x14ac:dyDescent="0.25">
      <c r="C63" s="278" t="s">
        <v>2006</v>
      </c>
    </row>
  </sheetData>
  <sheetProtection password="87E5" sheet="1" objects="1" scenarios="1"/>
  <mergeCells count="22">
    <mergeCell ref="L1:L4"/>
    <mergeCell ref="A1:F3"/>
    <mergeCell ref="G1:G4"/>
    <mergeCell ref="I1:I4"/>
    <mergeCell ref="J1:J4"/>
    <mergeCell ref="K1:K4"/>
    <mergeCell ref="E4:F4"/>
    <mergeCell ref="H1:H4"/>
    <mergeCell ref="Y1:Y4"/>
    <mergeCell ref="M1:O4"/>
    <mergeCell ref="P1:P4"/>
    <mergeCell ref="Q1:Q4"/>
    <mergeCell ref="R1:R4"/>
    <mergeCell ref="X3:X4"/>
    <mergeCell ref="U2:V2"/>
    <mergeCell ref="W2:X2"/>
    <mergeCell ref="S1:S4"/>
    <mergeCell ref="T1:T4"/>
    <mergeCell ref="U3:U4"/>
    <mergeCell ref="V3:V4"/>
    <mergeCell ref="W3:W4"/>
    <mergeCell ref="U1:X1"/>
  </mergeCells>
  <dataValidations count="1">
    <dataValidation type="list" allowBlank="1" showInputMessage="1" showErrorMessage="1" sqref="G5:H31 G33:H48">
      <formula1>kat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71" fitToHeight="0" orientation="landscape" r:id="rId1"/>
  <headerFooter>
    <oddFooter>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90" zoomScaleNormal="90" workbookViewId="0">
      <pane xSplit="7" ySplit="4" topLeftCell="H7" activePane="bottomRight" state="frozen"/>
      <selection pane="topRight" activeCell="H1" sqref="H1"/>
      <selection pane="bottomLeft" activeCell="A5" sqref="A5"/>
      <selection pane="bottomRight" activeCell="J20" sqref="J20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2.7109375" customWidth="1"/>
    <col min="5" max="5" width="6" style="250" bestFit="1" customWidth="1"/>
    <col min="6" max="6" width="4.140625" customWidth="1"/>
    <col min="7" max="7" width="10.85546875" customWidth="1"/>
    <col min="8" max="8" width="14.85546875" customWidth="1"/>
    <col min="9" max="9" width="11.42578125" customWidth="1"/>
    <col min="10" max="10" width="10.140625" customWidth="1"/>
    <col min="11" max="11" width="23.85546875" customWidth="1"/>
    <col min="12" max="12" width="10.28515625" customWidth="1"/>
    <col min="13" max="13" width="7.7109375" customWidth="1"/>
    <col min="14" max="14" width="5.5703125" customWidth="1"/>
    <col min="15" max="15" width="6" customWidth="1"/>
    <col min="16" max="16" width="7.85546875" style="250" customWidth="1"/>
    <col min="17" max="17" width="8" customWidth="1"/>
    <col min="18" max="18" width="9" customWidth="1"/>
    <col min="19" max="19" width="7.5703125" customWidth="1"/>
    <col min="20" max="20" width="7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35" ht="15" customHeight="1" x14ac:dyDescent="0.25">
      <c r="A1" s="642" t="s">
        <v>1674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1563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35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35" s="163" customFormat="1" ht="32.2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35" ht="15.75" thickBot="1" x14ac:dyDescent="0.3">
      <c r="A4" s="211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35" ht="30" customHeight="1" x14ac:dyDescent="0.25">
      <c r="A5" s="177" t="s">
        <v>277</v>
      </c>
      <c r="B5" s="177" t="s">
        <v>361</v>
      </c>
      <c r="C5" s="177" t="s">
        <v>1664</v>
      </c>
      <c r="D5" s="177" t="s">
        <v>1665</v>
      </c>
      <c r="E5" s="194">
        <v>3.6</v>
      </c>
      <c r="F5" s="177" t="s">
        <v>4</v>
      </c>
      <c r="G5" s="22" t="s">
        <v>5</v>
      </c>
      <c r="H5" s="180"/>
      <c r="I5" s="22"/>
      <c r="J5" s="22"/>
      <c r="K5" s="21" t="s">
        <v>1448</v>
      </c>
      <c r="L5" s="177" t="s">
        <v>6</v>
      </c>
      <c r="M5" s="177" t="s">
        <v>7</v>
      </c>
      <c r="N5" s="297">
        <v>875</v>
      </c>
      <c r="O5" s="297">
        <v>2125</v>
      </c>
      <c r="P5" s="294">
        <f t="shared" ref="P5:P10" si="0">N5*O5*0.000001</f>
        <v>1.859375</v>
      </c>
      <c r="Q5" s="140"/>
      <c r="R5" s="140"/>
      <c r="S5" s="294">
        <v>8.4</v>
      </c>
      <c r="T5" s="294">
        <v>2.25</v>
      </c>
      <c r="U5" s="140">
        <f>S5*T5-P5-Q5</f>
        <v>17.040625000000002</v>
      </c>
      <c r="V5" s="140"/>
      <c r="W5" s="140"/>
      <c r="X5" s="140"/>
      <c r="Y5" s="140"/>
    </row>
    <row r="6" spans="1:35" ht="30" customHeight="1" x14ac:dyDescent="0.25">
      <c r="A6" s="1" t="s">
        <v>277</v>
      </c>
      <c r="B6" s="1" t="s">
        <v>278</v>
      </c>
      <c r="C6" s="1" t="s">
        <v>1666</v>
      </c>
      <c r="D6" s="1" t="s">
        <v>140</v>
      </c>
      <c r="E6" s="29">
        <v>4.5</v>
      </c>
      <c r="F6" s="1" t="s">
        <v>4</v>
      </c>
      <c r="G6" s="6" t="s">
        <v>77</v>
      </c>
      <c r="H6" s="181"/>
      <c r="I6" s="6"/>
      <c r="J6" s="6"/>
      <c r="K6" s="5" t="s">
        <v>1448</v>
      </c>
      <c r="L6" s="1" t="s">
        <v>6</v>
      </c>
      <c r="M6" s="1" t="s">
        <v>7</v>
      </c>
      <c r="N6" s="296">
        <v>2500</v>
      </c>
      <c r="O6" s="296">
        <v>2125</v>
      </c>
      <c r="P6" s="259">
        <f t="shared" si="0"/>
        <v>5.3125</v>
      </c>
      <c r="Q6" s="30"/>
      <c r="R6" s="30"/>
      <c r="S6" s="259">
        <v>8.92</v>
      </c>
      <c r="T6" s="259">
        <v>2.4</v>
      </c>
      <c r="U6" s="30">
        <f>S6*T6-P6</f>
        <v>16.095499999999998</v>
      </c>
      <c r="V6" s="30"/>
      <c r="W6" s="30"/>
      <c r="X6" s="30"/>
      <c r="Y6" s="30"/>
    </row>
    <row r="7" spans="1:35" ht="30" customHeight="1" x14ac:dyDescent="0.25">
      <c r="A7" s="1" t="s">
        <v>277</v>
      </c>
      <c r="B7" s="1" t="s">
        <v>278</v>
      </c>
      <c r="C7" s="1" t="s">
        <v>1667</v>
      </c>
      <c r="D7" s="1" t="s">
        <v>685</v>
      </c>
      <c r="E7" s="29">
        <v>2.2999999999999998</v>
      </c>
      <c r="F7" s="1" t="s">
        <v>4</v>
      </c>
      <c r="G7" s="6" t="s">
        <v>77</v>
      </c>
      <c r="H7" s="181"/>
      <c r="I7" s="6"/>
      <c r="J7" s="6"/>
      <c r="K7" s="5" t="s">
        <v>1448</v>
      </c>
      <c r="L7" s="1" t="s">
        <v>81</v>
      </c>
      <c r="M7" s="1" t="s">
        <v>7</v>
      </c>
      <c r="N7" s="296">
        <v>875</v>
      </c>
      <c r="O7" s="296">
        <v>2125</v>
      </c>
      <c r="P7" s="259">
        <f t="shared" si="0"/>
        <v>1.859375</v>
      </c>
      <c r="Q7" s="30"/>
      <c r="R7" s="30"/>
      <c r="S7" s="259">
        <v>6.2</v>
      </c>
      <c r="T7" s="259">
        <v>2.4</v>
      </c>
      <c r="U7" s="30"/>
      <c r="V7" s="30"/>
      <c r="W7" s="30"/>
      <c r="X7" s="30">
        <f>S7*T7-P7</f>
        <v>13.020624999999999</v>
      </c>
      <c r="Y7" s="30"/>
    </row>
    <row r="8" spans="1:35" ht="30" customHeight="1" x14ac:dyDescent="0.25">
      <c r="A8" s="1" t="s">
        <v>277</v>
      </c>
      <c r="B8" s="1" t="s">
        <v>278</v>
      </c>
      <c r="C8" s="1" t="s">
        <v>1668</v>
      </c>
      <c r="D8" s="1" t="s">
        <v>65</v>
      </c>
      <c r="E8" s="29">
        <v>1.1000000000000001</v>
      </c>
      <c r="F8" s="1" t="s">
        <v>4</v>
      </c>
      <c r="G8" s="6" t="s">
        <v>77</v>
      </c>
      <c r="H8" s="181"/>
      <c r="I8" s="6"/>
      <c r="J8" s="6"/>
      <c r="K8" s="5" t="s">
        <v>1448</v>
      </c>
      <c r="L8" s="1" t="s">
        <v>81</v>
      </c>
      <c r="M8" s="1" t="s">
        <v>7</v>
      </c>
      <c r="N8" s="296">
        <v>750</v>
      </c>
      <c r="O8" s="296">
        <v>2125</v>
      </c>
      <c r="P8" s="259">
        <f t="shared" si="0"/>
        <v>1.59375</v>
      </c>
      <c r="Q8" s="30"/>
      <c r="R8" s="30"/>
      <c r="S8" s="259">
        <v>3.9</v>
      </c>
      <c r="T8" s="259">
        <v>2.4</v>
      </c>
      <c r="U8" s="30"/>
      <c r="V8" s="30"/>
      <c r="W8" s="30"/>
      <c r="X8" s="30">
        <f>S8*T8-P8</f>
        <v>7.7662499999999994</v>
      </c>
      <c r="Y8" s="30"/>
    </row>
    <row r="9" spans="1:35" ht="30" customHeight="1" x14ac:dyDescent="0.25">
      <c r="A9" s="1" t="s">
        <v>277</v>
      </c>
      <c r="B9" s="1" t="s">
        <v>278</v>
      </c>
      <c r="C9" s="1" t="s">
        <v>1669</v>
      </c>
      <c r="D9" s="1" t="s">
        <v>1670</v>
      </c>
      <c r="E9" s="29">
        <v>12.1</v>
      </c>
      <c r="F9" s="1" t="s">
        <v>4</v>
      </c>
      <c r="G9" s="6" t="s">
        <v>77</v>
      </c>
      <c r="H9" s="181"/>
      <c r="I9" s="6"/>
      <c r="J9" s="6"/>
      <c r="K9" s="5" t="s">
        <v>2064</v>
      </c>
      <c r="L9" s="1" t="s">
        <v>6</v>
      </c>
      <c r="M9" s="1" t="s">
        <v>7</v>
      </c>
      <c r="N9" s="296">
        <v>2625</v>
      </c>
      <c r="O9" s="296">
        <v>2125</v>
      </c>
      <c r="P9" s="259">
        <f t="shared" si="0"/>
        <v>5.578125</v>
      </c>
      <c r="Q9" s="30"/>
      <c r="R9" s="30"/>
      <c r="S9" s="259">
        <v>15.02</v>
      </c>
      <c r="T9" s="259">
        <v>2.4</v>
      </c>
      <c r="U9" s="30">
        <f>S9*T9-P9</f>
        <v>30.469874999999995</v>
      </c>
      <c r="V9" s="30"/>
      <c r="W9" s="30"/>
      <c r="X9" s="30"/>
      <c r="Y9" s="30"/>
    </row>
    <row r="10" spans="1:35" ht="30" customHeight="1" x14ac:dyDescent="0.25">
      <c r="A10" s="1" t="s">
        <v>277</v>
      </c>
      <c r="B10" s="1" t="s">
        <v>278</v>
      </c>
      <c r="C10" s="1" t="s">
        <v>1671</v>
      </c>
      <c r="D10" s="1" t="s">
        <v>1672</v>
      </c>
      <c r="E10" s="29">
        <v>8.1999999999999993</v>
      </c>
      <c r="F10" s="1" t="s">
        <v>4</v>
      </c>
      <c r="G10" s="6" t="s">
        <v>77</v>
      </c>
      <c r="H10" s="181"/>
      <c r="I10" s="6"/>
      <c r="J10" s="6"/>
      <c r="K10" s="5" t="s">
        <v>2064</v>
      </c>
      <c r="L10" s="1" t="s">
        <v>6</v>
      </c>
      <c r="M10" s="1" t="s">
        <v>7</v>
      </c>
      <c r="N10" s="296">
        <v>875</v>
      </c>
      <c r="O10" s="296">
        <v>2125</v>
      </c>
      <c r="P10" s="259">
        <f t="shared" si="0"/>
        <v>1.859375</v>
      </c>
      <c r="Q10" s="30"/>
      <c r="R10" s="30"/>
      <c r="S10" s="259">
        <v>15.77</v>
      </c>
      <c r="T10" s="259">
        <v>2.4</v>
      </c>
      <c r="U10" s="30"/>
      <c r="V10" s="30"/>
      <c r="W10" s="30"/>
      <c r="X10" s="30">
        <f>S10*T10-P10</f>
        <v>35.988624999999999</v>
      </c>
      <c r="Y10" s="30"/>
    </row>
    <row r="11" spans="1:35" s="284" customFormat="1" ht="17.25" x14ac:dyDescent="0.25">
      <c r="B11" s="280" t="s">
        <v>1551</v>
      </c>
      <c r="E11" s="286">
        <f>SUM(E5:E10)</f>
        <v>31.799999999999997</v>
      </c>
      <c r="F11" s="284" t="s">
        <v>1560</v>
      </c>
      <c r="H11"/>
      <c r="K11" s="210"/>
      <c r="N11" s="295"/>
      <c r="O11" s="295"/>
      <c r="P11" s="295"/>
      <c r="S11" s="295"/>
      <c r="T11" s="295"/>
    </row>
    <row r="12" spans="1:35" s="15" customFormat="1" ht="30" customHeight="1" x14ac:dyDescent="0.25">
      <c r="A12" s="139" t="s">
        <v>0</v>
      </c>
      <c r="B12" s="139" t="s">
        <v>361</v>
      </c>
      <c r="C12" s="139" t="s">
        <v>1673</v>
      </c>
      <c r="D12" s="101" t="s">
        <v>224</v>
      </c>
      <c r="E12" s="190">
        <v>2.6</v>
      </c>
      <c r="F12" s="139" t="s">
        <v>4</v>
      </c>
      <c r="G12" s="5" t="s">
        <v>5</v>
      </c>
      <c r="H12" s="181"/>
      <c r="I12" s="6"/>
      <c r="J12" s="6"/>
      <c r="K12" s="5" t="s">
        <v>1448</v>
      </c>
      <c r="L12" s="6" t="s">
        <v>6</v>
      </c>
      <c r="M12" s="6" t="s">
        <v>7</v>
      </c>
      <c r="N12" s="31">
        <v>875</v>
      </c>
      <c r="O12" s="31">
        <v>2125</v>
      </c>
      <c r="P12" s="16">
        <f t="shared" ref="P12" si="1">N12*O12*0.000001</f>
        <v>1.859375</v>
      </c>
      <c r="Q12" s="12"/>
      <c r="R12" s="12"/>
      <c r="S12" s="13">
        <v>6.7</v>
      </c>
      <c r="T12" s="13">
        <v>2.7</v>
      </c>
      <c r="U12" s="13"/>
      <c r="V12" s="12"/>
      <c r="W12" s="12"/>
      <c r="X12" s="47">
        <f>S12*T12-P12-Q12-Y12</f>
        <v>16.230625000000003</v>
      </c>
      <c r="Y12" s="12"/>
      <c r="Z12" s="14"/>
      <c r="AA12" s="14"/>
      <c r="AB12" s="14"/>
      <c r="AC12" s="14"/>
      <c r="AD12" s="14"/>
      <c r="AE12" s="14"/>
      <c r="AF12"/>
      <c r="AG12"/>
      <c r="AH12"/>
      <c r="AI12"/>
    </row>
    <row r="13" spans="1:35" s="284" customFormat="1" ht="17.25" x14ac:dyDescent="0.25">
      <c r="B13" s="280" t="s">
        <v>1552</v>
      </c>
      <c r="E13" s="286">
        <f>E12</f>
        <v>2.6</v>
      </c>
      <c r="F13" s="284" t="s">
        <v>1560</v>
      </c>
      <c r="H13"/>
      <c r="P13" s="295"/>
    </row>
    <row r="14" spans="1:35" s="284" customFormat="1" ht="17.25" x14ac:dyDescent="0.25">
      <c r="C14" s="284" t="s">
        <v>1550</v>
      </c>
      <c r="E14" s="286">
        <f>E11+E13</f>
        <v>34.4</v>
      </c>
      <c r="F14" s="284" t="s">
        <v>1560</v>
      </c>
      <c r="H14"/>
      <c r="P14" s="295"/>
    </row>
    <row r="16" spans="1:35" x14ac:dyDescent="0.25">
      <c r="C16" s="278" t="s">
        <v>1807</v>
      </c>
      <c r="D16" s="342"/>
      <c r="E16" s="358"/>
      <c r="F16" s="65"/>
    </row>
    <row r="17" spans="3:9" ht="17.25" x14ac:dyDescent="0.25">
      <c r="C17" s="65"/>
      <c r="D17" s="358" t="s">
        <v>1808</v>
      </c>
      <c r="E17" s="345">
        <v>0</v>
      </c>
      <c r="F17" s="342" t="s">
        <v>1560</v>
      </c>
    </row>
    <row r="18" spans="3:9" ht="17.25" x14ac:dyDescent="0.25">
      <c r="C18" s="65"/>
      <c r="D18" s="358" t="s">
        <v>37</v>
      </c>
      <c r="E18" s="345">
        <v>0</v>
      </c>
      <c r="F18" s="342" t="s">
        <v>1560</v>
      </c>
    </row>
    <row r="19" spans="3:9" ht="17.25" x14ac:dyDescent="0.25">
      <c r="C19" s="65"/>
      <c r="D19" s="358" t="s">
        <v>77</v>
      </c>
      <c r="E19" s="345">
        <v>0</v>
      </c>
      <c r="F19" s="342" t="s">
        <v>1560</v>
      </c>
    </row>
    <row r="20" spans="3:9" ht="17.25" x14ac:dyDescent="0.25">
      <c r="C20" s="65"/>
      <c r="D20" s="358" t="s">
        <v>229</v>
      </c>
      <c r="E20" s="345">
        <v>0</v>
      </c>
      <c r="F20" s="342" t="s">
        <v>1560</v>
      </c>
    </row>
    <row r="21" spans="3:9" ht="17.25" x14ac:dyDescent="0.25">
      <c r="C21" s="65"/>
      <c r="D21" s="359" t="s">
        <v>274</v>
      </c>
      <c r="E21" s="345">
        <f>SUM(E17:E20)</f>
        <v>0</v>
      </c>
      <c r="F21" s="342" t="s">
        <v>1560</v>
      </c>
    </row>
    <row r="23" spans="3:9" ht="66.75" customHeight="1" x14ac:dyDescent="0.25">
      <c r="C23" s="703" t="s">
        <v>1961</v>
      </c>
      <c r="D23" s="703"/>
      <c r="E23" s="703"/>
      <c r="F23" s="703"/>
      <c r="G23" s="703"/>
      <c r="H23" s="703"/>
      <c r="I23" s="703"/>
    </row>
  </sheetData>
  <sheetProtection password="87E5" sheet="1" objects="1" scenarios="1"/>
  <mergeCells count="23">
    <mergeCell ref="C23:I23"/>
    <mergeCell ref="T1:T4"/>
    <mergeCell ref="J1:J4"/>
    <mergeCell ref="K1:K4"/>
    <mergeCell ref="S1:S4"/>
    <mergeCell ref="R1:R4"/>
    <mergeCell ref="Q1:Q4"/>
    <mergeCell ref="L1:L4"/>
    <mergeCell ref="A1:F3"/>
    <mergeCell ref="E4:F4"/>
    <mergeCell ref="G1:G4"/>
    <mergeCell ref="I1:I4"/>
    <mergeCell ref="P1:P4"/>
    <mergeCell ref="M1:O4"/>
    <mergeCell ref="H1:H4"/>
    <mergeCell ref="Y1:Y4"/>
    <mergeCell ref="X3:X4"/>
    <mergeCell ref="W3:W4"/>
    <mergeCell ref="V3:V4"/>
    <mergeCell ref="U3:U4"/>
    <mergeCell ref="U1:X1"/>
    <mergeCell ref="W2:X2"/>
    <mergeCell ref="U2:V2"/>
  </mergeCells>
  <dataValidations count="1">
    <dataValidation type="list" allowBlank="1" showInputMessage="1" showErrorMessage="1" sqref="G5:H10 G12:H12">
      <formula1>kat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70" fitToHeight="0" orientation="landscape" r:id="rId1"/>
  <headerFooter>
    <oddFooter>&amp;P.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zoomScale="90" zoomScaleNormal="90" workbookViewId="0">
      <pane xSplit="7" ySplit="4" topLeftCell="H15" activePane="bottomRight" state="frozen"/>
      <selection pane="topRight" activeCell="H1" sqref="H1"/>
      <selection pane="bottomLeft" activeCell="A5" sqref="A5"/>
      <selection pane="bottomRight" activeCell="E24" sqref="E24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2.7109375" customWidth="1"/>
    <col min="5" max="5" width="8.7109375" style="171" bestFit="1" customWidth="1"/>
    <col min="6" max="6" width="4.140625" customWidth="1"/>
    <col min="7" max="7" width="10.85546875" customWidth="1"/>
    <col min="8" max="8" width="14.28515625" customWidth="1"/>
    <col min="9" max="10" width="11.42578125" customWidth="1"/>
    <col min="11" max="11" width="23.5703125" customWidth="1"/>
    <col min="12" max="12" width="11.42578125" customWidth="1"/>
    <col min="13" max="19" width="9.140625" customWidth="1"/>
    <col min="20" max="20" width="7.28515625" customWidth="1"/>
    <col min="21" max="25" width="9.140625" customWidth="1"/>
  </cols>
  <sheetData>
    <row r="1" spans="1:25" ht="15" customHeight="1" x14ac:dyDescent="0.25">
      <c r="A1" s="642" t="s">
        <v>1743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1563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25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5" s="163" customFormat="1" ht="33.7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5" ht="15.75" thickBot="1" x14ac:dyDescent="0.3">
      <c r="A4" s="211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25" x14ac:dyDescent="0.25">
      <c r="A5" s="44" t="s">
        <v>277</v>
      </c>
      <c r="B5" s="44" t="s">
        <v>278</v>
      </c>
      <c r="C5" s="44" t="s">
        <v>1675</v>
      </c>
      <c r="D5" s="44" t="s">
        <v>3</v>
      </c>
      <c r="E5" s="176">
        <v>10.4</v>
      </c>
      <c r="F5" s="44" t="s">
        <v>4</v>
      </c>
      <c r="G5" s="22" t="s">
        <v>77</v>
      </c>
      <c r="H5" s="180"/>
      <c r="I5" s="22"/>
      <c r="J5" s="22"/>
      <c r="K5" s="22" t="s">
        <v>2065</v>
      </c>
      <c r="L5" s="44" t="s">
        <v>583</v>
      </c>
      <c r="M5" s="44" t="s">
        <v>7</v>
      </c>
      <c r="N5" s="44">
        <v>4150</v>
      </c>
      <c r="O5" s="44">
        <v>2125</v>
      </c>
      <c r="P5" s="27">
        <f t="shared" ref="P5:P8" si="0">N5*O5*0.000001</f>
        <v>8.8187499999999996</v>
      </c>
      <c r="Q5" s="27"/>
      <c r="R5" s="27"/>
      <c r="S5" s="27">
        <v>14.55</v>
      </c>
      <c r="T5" s="27">
        <v>2.4</v>
      </c>
      <c r="U5" s="27">
        <f>S5*T5-P5</f>
        <v>26.10125</v>
      </c>
      <c r="V5" s="27"/>
      <c r="W5" s="27"/>
      <c r="X5" s="27"/>
      <c r="Y5" s="27"/>
    </row>
    <row r="6" spans="1:25" x14ac:dyDescent="0.25">
      <c r="A6" s="139" t="s">
        <v>277</v>
      </c>
      <c r="B6" s="139" t="s">
        <v>228</v>
      </c>
      <c r="C6" s="139" t="s">
        <v>1676</v>
      </c>
      <c r="D6" s="139" t="s">
        <v>55</v>
      </c>
      <c r="E6" s="165">
        <v>10.199999999999999</v>
      </c>
      <c r="F6" s="139" t="s">
        <v>4</v>
      </c>
      <c r="G6" s="6" t="s">
        <v>77</v>
      </c>
      <c r="H6" s="180"/>
      <c r="I6" s="6"/>
      <c r="J6" s="6"/>
      <c r="K6" s="22" t="s">
        <v>2065</v>
      </c>
      <c r="L6" s="139" t="s">
        <v>6</v>
      </c>
      <c r="M6" s="139" t="s">
        <v>7</v>
      </c>
      <c r="N6" s="139">
        <v>4500</v>
      </c>
      <c r="O6" s="139">
        <v>2125</v>
      </c>
      <c r="P6" s="141">
        <f t="shared" si="0"/>
        <v>9.5625</v>
      </c>
      <c r="Q6" s="141"/>
      <c r="R6" s="141"/>
      <c r="S6" s="141">
        <v>15.99</v>
      </c>
      <c r="T6" s="141">
        <v>3.3</v>
      </c>
      <c r="U6" s="141">
        <f>S6*T6-P6-Q6</f>
        <v>43.204499999999996</v>
      </c>
      <c r="V6" s="141"/>
      <c r="W6" s="141"/>
      <c r="X6" s="141"/>
      <c r="Y6" s="141"/>
    </row>
    <row r="7" spans="1:25" x14ac:dyDescent="0.25">
      <c r="A7" s="139" t="s">
        <v>277</v>
      </c>
      <c r="B7" s="139" t="s">
        <v>228</v>
      </c>
      <c r="C7" s="139" t="s">
        <v>1677</v>
      </c>
      <c r="D7" s="139" t="s">
        <v>1678</v>
      </c>
      <c r="E7" s="165">
        <v>55.9</v>
      </c>
      <c r="F7" s="139" t="s">
        <v>4</v>
      </c>
      <c r="G7" s="6" t="s">
        <v>229</v>
      </c>
      <c r="H7" s="180"/>
      <c r="I7" s="6"/>
      <c r="J7" s="6"/>
      <c r="K7" s="6"/>
      <c r="L7" s="139" t="s">
        <v>583</v>
      </c>
      <c r="M7" s="139" t="s">
        <v>7</v>
      </c>
      <c r="N7" s="139">
        <v>1500</v>
      </c>
      <c r="O7" s="139">
        <v>2125</v>
      </c>
      <c r="P7" s="141">
        <f t="shared" si="0"/>
        <v>3.1875</v>
      </c>
      <c r="Q7" s="141">
        <v>3.6</v>
      </c>
      <c r="R7" s="141"/>
      <c r="S7" s="141">
        <v>33.85</v>
      </c>
      <c r="T7" s="141">
        <v>3.3</v>
      </c>
      <c r="U7" s="141">
        <f>S7*T7-P7-Q7</f>
        <v>104.9175</v>
      </c>
      <c r="V7" s="141"/>
      <c r="W7" s="141"/>
      <c r="X7" s="141"/>
      <c r="Y7" s="141"/>
    </row>
    <row r="8" spans="1:25" x14ac:dyDescent="0.25">
      <c r="A8" s="139" t="s">
        <v>277</v>
      </c>
      <c r="B8" s="139" t="s">
        <v>228</v>
      </c>
      <c r="C8" s="139" t="s">
        <v>1679</v>
      </c>
      <c r="D8" s="139" t="s">
        <v>1576</v>
      </c>
      <c r="E8" s="165">
        <v>83.8</v>
      </c>
      <c r="F8" s="139" t="s">
        <v>4</v>
      </c>
      <c r="G8" s="6" t="s">
        <v>229</v>
      </c>
      <c r="H8" s="180"/>
      <c r="I8" s="6"/>
      <c r="J8" s="6"/>
      <c r="K8" s="6"/>
      <c r="L8" s="139" t="s">
        <v>583</v>
      </c>
      <c r="M8" s="139" t="s">
        <v>7</v>
      </c>
      <c r="N8" s="139">
        <v>1500</v>
      </c>
      <c r="O8" s="139">
        <v>2125</v>
      </c>
      <c r="P8" s="141">
        <f t="shared" si="0"/>
        <v>3.1875</v>
      </c>
      <c r="Q8" s="141">
        <v>2.88</v>
      </c>
      <c r="R8" s="141">
        <v>0.72</v>
      </c>
      <c r="S8" s="141">
        <v>37.51</v>
      </c>
      <c r="T8" s="141">
        <v>3.3</v>
      </c>
      <c r="U8" s="141">
        <f>S8*T8-P8-Q8</f>
        <v>117.71549999999999</v>
      </c>
      <c r="V8" s="141"/>
      <c r="W8" s="141"/>
      <c r="X8" s="141"/>
      <c r="Y8" s="141"/>
    </row>
    <row r="9" spans="1:25" ht="17.25" x14ac:dyDescent="0.25">
      <c r="B9" s="289" t="s">
        <v>1551</v>
      </c>
      <c r="E9" s="299">
        <f>SUM(E5:E8)</f>
        <v>160.30000000000001</v>
      </c>
      <c r="F9" s="284" t="s">
        <v>1560</v>
      </c>
    </row>
    <row r="10" spans="1:25" s="15" customFormat="1" x14ac:dyDescent="0.25">
      <c r="A10" s="139" t="s">
        <v>0</v>
      </c>
      <c r="B10" s="139" t="s">
        <v>228</v>
      </c>
      <c r="C10" s="139" t="s">
        <v>1680</v>
      </c>
      <c r="D10" s="101" t="s">
        <v>1681</v>
      </c>
      <c r="E10" s="165">
        <v>12</v>
      </c>
      <c r="F10" s="139" t="s">
        <v>4</v>
      </c>
      <c r="G10" s="5" t="s">
        <v>229</v>
      </c>
      <c r="H10" s="181"/>
      <c r="I10" s="6"/>
      <c r="J10" s="6"/>
      <c r="K10" s="5"/>
      <c r="L10" s="160" t="s">
        <v>81</v>
      </c>
      <c r="M10" s="160" t="s">
        <v>7</v>
      </c>
      <c r="N10" s="161">
        <v>1800</v>
      </c>
      <c r="O10" s="31">
        <v>3200</v>
      </c>
      <c r="P10" s="16">
        <f t="shared" ref="P10:P12" si="1">N10*O10*0.000001</f>
        <v>5.76</v>
      </c>
      <c r="Q10" s="12"/>
      <c r="R10" s="12"/>
      <c r="S10" s="13">
        <v>14</v>
      </c>
      <c r="T10" s="12">
        <v>3.35</v>
      </c>
      <c r="U10" s="16">
        <f t="shared" ref="U10:U12" si="2">S10*T10-P10-Q10-X10-Y10</f>
        <v>41.14</v>
      </c>
      <c r="V10" s="12"/>
      <c r="W10" s="12"/>
      <c r="X10" s="13"/>
      <c r="Y10" s="12"/>
    </row>
    <row r="11" spans="1:25" s="15" customFormat="1" x14ac:dyDescent="0.25">
      <c r="A11" s="139" t="s">
        <v>0</v>
      </c>
      <c r="B11" s="139" t="s">
        <v>228</v>
      </c>
      <c r="C11" s="139" t="s">
        <v>1682</v>
      </c>
      <c r="D11" s="101" t="s">
        <v>1681</v>
      </c>
      <c r="E11" s="165">
        <v>11.8</v>
      </c>
      <c r="F11" s="139" t="s">
        <v>4</v>
      </c>
      <c r="G11" s="5" t="s">
        <v>229</v>
      </c>
      <c r="H11" s="181"/>
      <c r="I11" s="6"/>
      <c r="J11" s="6"/>
      <c r="K11" s="5"/>
      <c r="L11" s="6" t="s">
        <v>583</v>
      </c>
      <c r="M11" s="6" t="s">
        <v>7</v>
      </c>
      <c r="N11" s="31">
        <v>1500</v>
      </c>
      <c r="O11" s="31">
        <v>3200</v>
      </c>
      <c r="P11" s="16">
        <f t="shared" si="1"/>
        <v>4.8</v>
      </c>
      <c r="Q11" s="12"/>
      <c r="R11" s="12"/>
      <c r="S11" s="13">
        <v>13.9</v>
      </c>
      <c r="T11" s="12">
        <v>3.35</v>
      </c>
      <c r="U11" s="16">
        <f t="shared" si="2"/>
        <v>41.765000000000008</v>
      </c>
      <c r="V11" s="12"/>
      <c r="W11" s="12"/>
      <c r="X11" s="13"/>
      <c r="Y11" s="12"/>
    </row>
    <row r="12" spans="1:25" s="15" customFormat="1" x14ac:dyDescent="0.25">
      <c r="A12" s="139" t="s">
        <v>0</v>
      </c>
      <c r="B12" s="139" t="s">
        <v>228</v>
      </c>
      <c r="C12" s="139" t="s">
        <v>1683</v>
      </c>
      <c r="D12" s="101" t="s">
        <v>1681</v>
      </c>
      <c r="E12" s="165">
        <v>11.3</v>
      </c>
      <c r="F12" s="139" t="s">
        <v>4</v>
      </c>
      <c r="G12" s="5" t="s">
        <v>229</v>
      </c>
      <c r="H12" s="180"/>
      <c r="I12" s="6"/>
      <c r="J12" s="6"/>
      <c r="K12" s="5"/>
      <c r="L12" s="6" t="s">
        <v>583</v>
      </c>
      <c r="M12" s="6" t="s">
        <v>7</v>
      </c>
      <c r="N12" s="31">
        <v>1500</v>
      </c>
      <c r="O12" s="31">
        <v>3200</v>
      </c>
      <c r="P12" s="16">
        <f t="shared" si="1"/>
        <v>4.8</v>
      </c>
      <c r="Q12" s="12"/>
      <c r="R12" s="12"/>
      <c r="S12" s="13">
        <v>13.5</v>
      </c>
      <c r="T12" s="12">
        <v>3.35</v>
      </c>
      <c r="U12" s="16">
        <f t="shared" si="2"/>
        <v>40.425000000000004</v>
      </c>
      <c r="V12" s="12"/>
      <c r="W12" s="12"/>
      <c r="X12" s="13"/>
      <c r="Y12" s="12"/>
    </row>
    <row r="13" spans="1:25" ht="17.25" x14ac:dyDescent="0.25">
      <c r="B13" s="289" t="s">
        <v>1552</v>
      </c>
      <c r="E13" s="298">
        <f>SUM(E10:E12)</f>
        <v>35.1</v>
      </c>
      <c r="F13" s="284" t="s">
        <v>1560</v>
      </c>
    </row>
    <row r="14" spans="1:25" x14ac:dyDescent="0.25">
      <c r="A14" s="1" t="s">
        <v>139</v>
      </c>
      <c r="B14" s="1" t="s">
        <v>278</v>
      </c>
      <c r="C14" s="1" t="s">
        <v>1684</v>
      </c>
      <c r="D14" s="1" t="s">
        <v>1685</v>
      </c>
      <c r="E14" s="164">
        <v>3.9</v>
      </c>
      <c r="F14" s="1" t="s">
        <v>4</v>
      </c>
      <c r="G14" s="6" t="s">
        <v>229</v>
      </c>
      <c r="H14" s="181"/>
      <c r="I14" s="5"/>
      <c r="J14" s="6"/>
      <c r="K14" s="5"/>
      <c r="L14" s="179" t="s">
        <v>10</v>
      </c>
      <c r="M14" s="12" t="s">
        <v>7</v>
      </c>
      <c r="N14" s="150">
        <v>3275</v>
      </c>
      <c r="O14" s="6">
        <v>2125</v>
      </c>
      <c r="P14" s="35">
        <f t="shared" ref="P14:P15" si="3">N14*O14*0.000001</f>
        <v>6.9593749999999996</v>
      </c>
      <c r="Q14" s="13"/>
      <c r="R14" s="12"/>
      <c r="S14" s="13">
        <v>8.59</v>
      </c>
      <c r="T14" s="12">
        <v>2.6</v>
      </c>
      <c r="U14" s="16">
        <f>S14*T14-P14-Q14-X14-Y14</f>
        <v>15.374625</v>
      </c>
      <c r="V14" s="12"/>
      <c r="W14" s="12"/>
      <c r="X14" s="13"/>
      <c r="Y14" s="13"/>
    </row>
    <row r="15" spans="1:25" x14ac:dyDescent="0.25">
      <c r="A15" s="1" t="s">
        <v>139</v>
      </c>
      <c r="B15" s="1" t="s">
        <v>278</v>
      </c>
      <c r="C15" s="1" t="s">
        <v>1686</v>
      </c>
      <c r="D15" s="1" t="s">
        <v>1685</v>
      </c>
      <c r="E15" s="164">
        <v>3.9</v>
      </c>
      <c r="F15" s="1" t="s">
        <v>4</v>
      </c>
      <c r="G15" s="6" t="s">
        <v>229</v>
      </c>
      <c r="H15" s="180"/>
      <c r="I15" s="5"/>
      <c r="J15" s="6"/>
      <c r="K15" s="5"/>
      <c r="L15" s="179" t="s">
        <v>10</v>
      </c>
      <c r="M15" s="12" t="s">
        <v>7</v>
      </c>
      <c r="N15" s="150">
        <v>3275</v>
      </c>
      <c r="O15" s="6">
        <v>2125</v>
      </c>
      <c r="P15" s="35">
        <f t="shared" si="3"/>
        <v>6.9593749999999996</v>
      </c>
      <c r="Q15" s="13"/>
      <c r="R15" s="12"/>
      <c r="S15" s="13">
        <v>8.59</v>
      </c>
      <c r="T15" s="12">
        <v>3</v>
      </c>
      <c r="U15" s="16">
        <f>S15*T15-P15-Q15-X15-Y15</f>
        <v>18.810625000000002</v>
      </c>
      <c r="V15" s="12"/>
      <c r="W15" s="12"/>
      <c r="X15" s="13"/>
      <c r="Y15" s="13"/>
    </row>
    <row r="16" spans="1:25" ht="17.25" x14ac:dyDescent="0.25">
      <c r="B16" s="300" t="s">
        <v>1553</v>
      </c>
      <c r="E16" s="298">
        <f>SUM(E14:E15)</f>
        <v>7.8</v>
      </c>
      <c r="F16" s="284" t="s">
        <v>1560</v>
      </c>
    </row>
    <row r="17" spans="1:25" s="149" customFormat="1" ht="30" customHeight="1" x14ac:dyDescent="0.25">
      <c r="A17" s="145" t="s">
        <v>160</v>
      </c>
      <c r="B17" s="145" t="s">
        <v>228</v>
      </c>
      <c r="C17" s="145" t="s">
        <v>1687</v>
      </c>
      <c r="D17" s="145" t="s">
        <v>1688</v>
      </c>
      <c r="E17" s="168">
        <v>2.5</v>
      </c>
      <c r="F17" s="145" t="s">
        <v>4</v>
      </c>
      <c r="G17" s="6" t="s">
        <v>229</v>
      </c>
      <c r="H17" s="181"/>
      <c r="I17" s="6"/>
      <c r="J17" s="6"/>
      <c r="K17" s="5"/>
      <c r="L17" s="12" t="s">
        <v>10</v>
      </c>
      <c r="M17" s="6" t="s">
        <v>7</v>
      </c>
      <c r="N17" s="150">
        <v>3275</v>
      </c>
      <c r="O17" s="6">
        <v>2125</v>
      </c>
      <c r="P17" s="35">
        <f>N17*O17*0.000001</f>
        <v>6.9593749999999996</v>
      </c>
      <c r="Q17" s="12"/>
      <c r="R17" s="12"/>
      <c r="S17" s="13">
        <v>7.01</v>
      </c>
      <c r="T17" s="12">
        <v>2.6</v>
      </c>
      <c r="U17" s="35">
        <f>S17*T17-P17-Q17-X17-Y17</f>
        <v>11.266624999999999</v>
      </c>
      <c r="V17" s="12"/>
      <c r="W17" s="12"/>
      <c r="X17" s="12"/>
      <c r="Y17" s="12"/>
    </row>
    <row r="18" spans="1:25" ht="17.25" x14ac:dyDescent="0.25">
      <c r="B18" s="300" t="s">
        <v>1559</v>
      </c>
      <c r="E18" s="298">
        <f>E17</f>
        <v>2.5</v>
      </c>
      <c r="F18" s="284" t="s">
        <v>1560</v>
      </c>
    </row>
    <row r="19" spans="1:25" x14ac:dyDescent="0.25">
      <c r="A19" s="145" t="s">
        <v>230</v>
      </c>
      <c r="B19" s="145" t="s">
        <v>228</v>
      </c>
      <c r="C19" s="139" t="s">
        <v>1689</v>
      </c>
      <c r="D19" s="145" t="s">
        <v>1688</v>
      </c>
      <c r="E19" s="168">
        <v>2.5</v>
      </c>
      <c r="F19" s="145" t="s">
        <v>4</v>
      </c>
      <c r="G19" s="6" t="s">
        <v>229</v>
      </c>
      <c r="H19" s="181"/>
      <c r="I19" s="6"/>
      <c r="J19" s="6"/>
      <c r="K19" s="5"/>
      <c r="L19" s="179" t="s">
        <v>10</v>
      </c>
      <c r="M19" s="6" t="s">
        <v>7</v>
      </c>
      <c r="N19" s="6">
        <v>3275</v>
      </c>
      <c r="O19" s="6">
        <v>2125</v>
      </c>
      <c r="P19" s="35">
        <f>N19*O19*0.000001</f>
        <v>6.9593749999999996</v>
      </c>
      <c r="Q19" s="12"/>
      <c r="R19" s="12"/>
      <c r="S19" s="12">
        <v>7.01</v>
      </c>
      <c r="T19" s="12">
        <v>2.6</v>
      </c>
      <c r="U19" s="35">
        <f>S19*T19-P19-Q19-X19-Y19</f>
        <v>11.266624999999999</v>
      </c>
      <c r="V19" s="12"/>
      <c r="W19" s="12"/>
      <c r="X19" s="12"/>
      <c r="Y19" s="12"/>
    </row>
    <row r="20" spans="1:25" ht="17.25" x14ac:dyDescent="0.25">
      <c r="B20" s="300" t="s">
        <v>1558</v>
      </c>
      <c r="E20" s="298">
        <f>E19</f>
        <v>2.5</v>
      </c>
      <c r="F20" s="284" t="s">
        <v>1560</v>
      </c>
    </row>
    <row r="21" spans="1:25" x14ac:dyDescent="0.25">
      <c r="A21" s="151" t="s">
        <v>1539</v>
      </c>
      <c r="B21" s="151" t="s">
        <v>278</v>
      </c>
      <c r="C21" s="151" t="s">
        <v>1690</v>
      </c>
      <c r="D21" s="151" t="s">
        <v>1691</v>
      </c>
      <c r="E21" s="170">
        <v>19.600000000000001</v>
      </c>
      <c r="F21" s="151" t="s">
        <v>4</v>
      </c>
      <c r="G21" s="6" t="s">
        <v>229</v>
      </c>
      <c r="H21" s="181"/>
      <c r="I21" s="6"/>
      <c r="J21" s="5"/>
      <c r="K21" s="5"/>
      <c r="L21" s="179" t="s">
        <v>6</v>
      </c>
      <c r="M21" s="6" t="s">
        <v>7</v>
      </c>
      <c r="N21" s="150">
        <v>1750</v>
      </c>
      <c r="O21" s="150">
        <v>2125</v>
      </c>
      <c r="P21" s="35">
        <f t="shared" ref="P21:P22" si="4">N21*O21*0.000001</f>
        <v>3.71875</v>
      </c>
      <c r="Q21" s="12"/>
      <c r="R21" s="12"/>
      <c r="S21" s="12">
        <v>18.28</v>
      </c>
      <c r="T21" s="12">
        <v>2.7</v>
      </c>
      <c r="U21" s="12">
        <f>S21*T21-P21</f>
        <v>45.637250000000009</v>
      </c>
      <c r="V21" s="12"/>
      <c r="W21" s="12"/>
      <c r="X21" s="12"/>
      <c r="Y21" s="12"/>
    </row>
    <row r="22" spans="1:25" x14ac:dyDescent="0.25">
      <c r="A22" s="151" t="s">
        <v>1539</v>
      </c>
      <c r="B22" s="151" t="s">
        <v>278</v>
      </c>
      <c r="C22" s="151" t="s">
        <v>1692</v>
      </c>
      <c r="D22" s="1" t="s">
        <v>1691</v>
      </c>
      <c r="E22" s="170">
        <v>14.8</v>
      </c>
      <c r="F22" s="151" t="s">
        <v>4</v>
      </c>
      <c r="G22" s="6" t="s">
        <v>229</v>
      </c>
      <c r="H22" s="181"/>
      <c r="I22" s="6"/>
      <c r="J22" s="5"/>
      <c r="K22" s="5"/>
      <c r="L22" s="179" t="s">
        <v>6</v>
      </c>
      <c r="M22" s="6" t="s">
        <v>7</v>
      </c>
      <c r="N22" s="150">
        <v>1500</v>
      </c>
      <c r="O22" s="150">
        <v>2125</v>
      </c>
      <c r="P22" s="35">
        <f t="shared" si="4"/>
        <v>3.1875</v>
      </c>
      <c r="Q22" s="12"/>
      <c r="R22" s="12"/>
      <c r="S22" s="12">
        <v>17.260000000000002</v>
      </c>
      <c r="T22" s="12">
        <v>2.7</v>
      </c>
      <c r="U22" s="12">
        <f>S22*T22-P22</f>
        <v>43.414500000000004</v>
      </c>
      <c r="V22" s="12"/>
      <c r="W22" s="12"/>
      <c r="X22" s="12"/>
      <c r="Y22" s="12"/>
    </row>
    <row r="23" spans="1:25" x14ac:dyDescent="0.25">
      <c r="B23" s="300" t="s">
        <v>1555</v>
      </c>
      <c r="E23" s="172">
        <f>SUM(E21:E22)</f>
        <v>34.400000000000006</v>
      </c>
    </row>
    <row r="24" spans="1:25" s="284" customFormat="1" ht="17.25" x14ac:dyDescent="0.25">
      <c r="C24" s="284" t="s">
        <v>1550</v>
      </c>
      <c r="E24" s="298">
        <f>E9+E13+E16+E18+E20+E23</f>
        <v>242.60000000000002</v>
      </c>
      <c r="F24" s="284" t="s">
        <v>1560</v>
      </c>
    </row>
    <row r="26" spans="1:25" x14ac:dyDescent="0.25">
      <c r="C26" s="278" t="s">
        <v>1807</v>
      </c>
      <c r="D26" s="342"/>
      <c r="E26" s="358"/>
      <c r="F26" s="65"/>
    </row>
    <row r="27" spans="1:25" ht="17.25" x14ac:dyDescent="0.25">
      <c r="C27" s="65"/>
      <c r="D27" s="358" t="s">
        <v>1808</v>
      </c>
      <c r="E27" s="345">
        <v>0</v>
      </c>
      <c r="F27" s="342" t="s">
        <v>1560</v>
      </c>
    </row>
    <row r="28" spans="1:25" ht="17.25" x14ac:dyDescent="0.25">
      <c r="C28" s="65"/>
      <c r="D28" s="358" t="s">
        <v>37</v>
      </c>
      <c r="E28" s="345">
        <v>0</v>
      </c>
      <c r="F28" s="342" t="s">
        <v>1560</v>
      </c>
    </row>
    <row r="29" spans="1:25" ht="17.25" x14ac:dyDescent="0.25">
      <c r="C29" s="65"/>
      <c r="D29" s="358" t="s">
        <v>77</v>
      </c>
      <c r="E29" s="345">
        <f>E5+E6</f>
        <v>20.6</v>
      </c>
      <c r="F29" s="342" t="s">
        <v>1560</v>
      </c>
    </row>
    <row r="30" spans="1:25" ht="17.25" x14ac:dyDescent="0.25">
      <c r="C30" s="65"/>
      <c r="D30" s="358" t="s">
        <v>229</v>
      </c>
      <c r="E30" s="345">
        <f>SUM(E7:E8)+SUM(E14:E15)+E17+E19+SUM(E21:E22)</f>
        <v>186.9</v>
      </c>
      <c r="F30" s="342" t="s">
        <v>1560</v>
      </c>
    </row>
    <row r="31" spans="1:25" ht="17.25" x14ac:dyDescent="0.25">
      <c r="C31" s="65"/>
      <c r="D31" s="359" t="s">
        <v>274</v>
      </c>
      <c r="E31" s="345">
        <f>SUM(E27:E30)</f>
        <v>207.5</v>
      </c>
      <c r="F31" s="342" t="s">
        <v>1560</v>
      </c>
    </row>
    <row r="32" spans="1:25" x14ac:dyDescent="0.25">
      <c r="E32" s="172"/>
    </row>
    <row r="33" spans="3:5" x14ac:dyDescent="0.25">
      <c r="C33" s="284" t="s">
        <v>1955</v>
      </c>
    </row>
    <row r="35" spans="3:5" x14ac:dyDescent="0.25">
      <c r="C35" s="278" t="s">
        <v>1997</v>
      </c>
      <c r="D35" s="15"/>
      <c r="E35" s="250"/>
    </row>
    <row r="36" spans="3:5" x14ac:dyDescent="0.25">
      <c r="C36" s="504"/>
      <c r="D36" s="305"/>
      <c r="E36" s="503" t="s">
        <v>1996</v>
      </c>
    </row>
    <row r="37" spans="3:5" x14ac:dyDescent="0.25">
      <c r="C37" s="284" t="s">
        <v>1998</v>
      </c>
      <c r="E37" s="250"/>
    </row>
    <row r="38" spans="3:5" x14ac:dyDescent="0.25">
      <c r="C38" s="278" t="s">
        <v>2006</v>
      </c>
    </row>
  </sheetData>
  <sheetProtection password="87E5" sheet="1" objects="1" scenarios="1"/>
  <mergeCells count="22">
    <mergeCell ref="I1:I4"/>
    <mergeCell ref="J1:J4"/>
    <mergeCell ref="K1:K4"/>
    <mergeCell ref="L1:L4"/>
    <mergeCell ref="E4:F4"/>
    <mergeCell ref="A1:F3"/>
    <mergeCell ref="G1:G4"/>
    <mergeCell ref="H1:H4"/>
    <mergeCell ref="Y1:Y4"/>
    <mergeCell ref="M1:O4"/>
    <mergeCell ref="P1:P4"/>
    <mergeCell ref="Q1:Q4"/>
    <mergeCell ref="R1:R4"/>
    <mergeCell ref="X3:X4"/>
    <mergeCell ref="U2:V2"/>
    <mergeCell ref="W2:X2"/>
    <mergeCell ref="U1:X1"/>
    <mergeCell ref="S1:S4"/>
    <mergeCell ref="T1:T4"/>
    <mergeCell ref="U3:U4"/>
    <mergeCell ref="V3:V4"/>
    <mergeCell ref="W3:W4"/>
  </mergeCells>
  <dataValidations count="1">
    <dataValidation type="list" allowBlank="1" showInputMessage="1" showErrorMessage="1" sqref="H14:H15 G10:H12 G17:H17 G5:H8 G19:H19 G21:H22">
      <formula1>kat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68" fitToHeight="0" orientation="landscape" r:id="rId1"/>
  <headerFooter>
    <oddFooter>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zoomScale="80" zoomScaleNormal="8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71" sqref="C71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0.140625" bestFit="1" customWidth="1"/>
    <col min="5" max="5" width="7.140625" style="250" bestFit="1" customWidth="1"/>
    <col min="6" max="6" width="4.140625" customWidth="1"/>
    <col min="7" max="7" width="10.85546875" customWidth="1"/>
    <col min="8" max="8" width="15" customWidth="1"/>
    <col min="9" max="9" width="11.42578125" customWidth="1"/>
    <col min="10" max="10" width="10.85546875" customWidth="1"/>
    <col min="11" max="11" width="23.42578125" customWidth="1"/>
    <col min="12" max="12" width="10" customWidth="1"/>
    <col min="13" max="13" width="7.7109375" customWidth="1"/>
    <col min="14" max="15" width="6" customWidth="1"/>
    <col min="16" max="16" width="7.140625" customWidth="1"/>
    <col min="17" max="18" width="9.140625" customWidth="1"/>
    <col min="19" max="19" width="7.28515625" customWidth="1"/>
    <col min="20" max="20" width="7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25" ht="15" customHeight="1" x14ac:dyDescent="0.25">
      <c r="A1" s="645" t="s">
        <v>1744</v>
      </c>
      <c r="B1" s="645"/>
      <c r="C1" s="645"/>
      <c r="D1" s="645"/>
      <c r="E1" s="645"/>
      <c r="F1" s="645"/>
      <c r="G1" s="619" t="s">
        <v>112</v>
      </c>
      <c r="H1" s="704" t="s">
        <v>1963</v>
      </c>
      <c r="I1" s="619" t="s">
        <v>113</v>
      </c>
      <c r="J1" s="619" t="s">
        <v>114</v>
      </c>
      <c r="K1" s="619" t="s">
        <v>115</v>
      </c>
      <c r="L1" s="619" t="s">
        <v>1561</v>
      </c>
      <c r="M1" s="697" t="s">
        <v>116</v>
      </c>
      <c r="N1" s="697"/>
      <c r="O1" s="697"/>
      <c r="P1" s="654" t="s">
        <v>117</v>
      </c>
      <c r="Q1" s="654" t="s">
        <v>118</v>
      </c>
      <c r="R1" s="654" t="s">
        <v>1563</v>
      </c>
      <c r="S1" s="654" t="s">
        <v>120</v>
      </c>
      <c r="T1" s="654" t="s">
        <v>121</v>
      </c>
      <c r="U1" s="654" t="s">
        <v>376</v>
      </c>
      <c r="V1" s="654"/>
      <c r="W1" s="654"/>
      <c r="X1" s="654"/>
      <c r="Y1" s="654" t="s">
        <v>1513</v>
      </c>
    </row>
    <row r="2" spans="1:25" ht="15" customHeight="1" x14ac:dyDescent="0.25">
      <c r="A2" s="645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54"/>
    </row>
    <row r="3" spans="1:25" s="163" customFormat="1" ht="36.75" customHeight="1" x14ac:dyDescent="0.25">
      <c r="A3" s="645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54"/>
    </row>
    <row r="4" spans="1:25" x14ac:dyDescent="0.25">
      <c r="A4" s="212" t="s">
        <v>129</v>
      </c>
      <c r="B4" s="212" t="s">
        <v>130</v>
      </c>
      <c r="C4" s="212" t="s">
        <v>131</v>
      </c>
      <c r="D4" s="212" t="s">
        <v>132</v>
      </c>
      <c r="E4" s="662" t="s">
        <v>133</v>
      </c>
      <c r="F4" s="662"/>
      <c r="G4" s="619"/>
      <c r="H4" s="699"/>
      <c r="I4" s="619"/>
      <c r="J4" s="619"/>
      <c r="K4" s="619"/>
      <c r="L4" s="619"/>
      <c r="M4" s="697"/>
      <c r="N4" s="697"/>
      <c r="O4" s="697"/>
      <c r="P4" s="654"/>
      <c r="Q4" s="654"/>
      <c r="R4" s="654"/>
      <c r="S4" s="654"/>
      <c r="T4" s="654"/>
      <c r="U4" s="654"/>
      <c r="V4" s="654"/>
      <c r="W4" s="654"/>
      <c r="X4" s="654"/>
      <c r="Y4" s="654"/>
    </row>
    <row r="5" spans="1:25" s="15" customFormat="1" ht="30" x14ac:dyDescent="0.25">
      <c r="A5" s="1" t="s">
        <v>0</v>
      </c>
      <c r="B5" s="1" t="s">
        <v>278</v>
      </c>
      <c r="C5" s="1" t="s">
        <v>1693</v>
      </c>
      <c r="D5" s="28" t="s">
        <v>52</v>
      </c>
      <c r="E5" s="29">
        <v>1.5</v>
      </c>
      <c r="F5" s="1" t="s">
        <v>4</v>
      </c>
      <c r="G5" s="5" t="s">
        <v>77</v>
      </c>
      <c r="H5" s="181"/>
      <c r="I5" s="6"/>
      <c r="J5" s="6" t="s">
        <v>194</v>
      </c>
      <c r="K5" s="5" t="s">
        <v>1449</v>
      </c>
      <c r="L5" s="6" t="s">
        <v>6</v>
      </c>
      <c r="M5" s="6" t="s">
        <v>7</v>
      </c>
      <c r="N5" s="304">
        <v>875</v>
      </c>
      <c r="O5" s="304">
        <v>2125</v>
      </c>
      <c r="P5" s="302">
        <f t="shared" ref="P5:P11" si="0">N5*O5*0.000001</f>
        <v>1.859375</v>
      </c>
      <c r="Q5" s="12"/>
      <c r="R5" s="12"/>
      <c r="S5" s="13">
        <v>4.95</v>
      </c>
      <c r="T5" s="12">
        <v>2.6</v>
      </c>
      <c r="U5" s="13"/>
      <c r="V5" s="12"/>
      <c r="W5" s="12"/>
      <c r="X5" s="47">
        <f t="shared" ref="X5:X11" si="1">S5*T5-P5-Q5-Y5</f>
        <v>11.010625000000001</v>
      </c>
      <c r="Y5" s="12"/>
    </row>
    <row r="6" spans="1:25" s="15" customFormat="1" ht="30" x14ac:dyDescent="0.25">
      <c r="A6" s="1" t="s">
        <v>0</v>
      </c>
      <c r="B6" s="1" t="s">
        <v>278</v>
      </c>
      <c r="C6" s="1" t="s">
        <v>1694</v>
      </c>
      <c r="D6" s="28" t="s">
        <v>335</v>
      </c>
      <c r="E6" s="29">
        <v>5</v>
      </c>
      <c r="F6" s="1" t="s">
        <v>4</v>
      </c>
      <c r="G6" s="5" t="s">
        <v>77</v>
      </c>
      <c r="H6" s="181"/>
      <c r="I6" s="6"/>
      <c r="J6" s="6" t="s">
        <v>194</v>
      </c>
      <c r="K6" s="5" t="s">
        <v>1449</v>
      </c>
      <c r="L6" s="6" t="s">
        <v>6</v>
      </c>
      <c r="M6" s="6" t="s">
        <v>7</v>
      </c>
      <c r="N6" s="304">
        <v>875</v>
      </c>
      <c r="O6" s="304">
        <v>2125</v>
      </c>
      <c r="P6" s="302">
        <f t="shared" si="0"/>
        <v>1.859375</v>
      </c>
      <c r="Q6" s="12"/>
      <c r="R6" s="12"/>
      <c r="S6" s="13">
        <v>8.99</v>
      </c>
      <c r="T6" s="12">
        <v>2.6</v>
      </c>
      <c r="U6" s="13"/>
      <c r="V6" s="12"/>
      <c r="W6" s="12"/>
      <c r="X6" s="47">
        <f t="shared" si="1"/>
        <v>21.514625000000002</v>
      </c>
      <c r="Y6" s="12"/>
    </row>
    <row r="7" spans="1:25" s="15" customFormat="1" ht="30" x14ac:dyDescent="0.25">
      <c r="A7" s="1" t="s">
        <v>0</v>
      </c>
      <c r="B7" s="1" t="s">
        <v>278</v>
      </c>
      <c r="C7" s="1" t="s">
        <v>1695</v>
      </c>
      <c r="D7" s="28" t="s">
        <v>65</v>
      </c>
      <c r="E7" s="29">
        <v>1.2</v>
      </c>
      <c r="F7" s="1" t="s">
        <v>4</v>
      </c>
      <c r="G7" s="5" t="s">
        <v>77</v>
      </c>
      <c r="H7" s="181"/>
      <c r="I7" s="6"/>
      <c r="J7" s="6" t="s">
        <v>194</v>
      </c>
      <c r="K7" s="5" t="s">
        <v>1449</v>
      </c>
      <c r="L7" s="6" t="s">
        <v>6</v>
      </c>
      <c r="M7" s="6" t="s">
        <v>7</v>
      </c>
      <c r="N7" s="304">
        <v>875</v>
      </c>
      <c r="O7" s="304">
        <v>2125</v>
      </c>
      <c r="P7" s="302">
        <f t="shared" si="0"/>
        <v>1.859375</v>
      </c>
      <c r="Q7" s="12"/>
      <c r="R7" s="12"/>
      <c r="S7" s="13">
        <v>4.0999999999999996</v>
      </c>
      <c r="T7" s="12">
        <v>2.6</v>
      </c>
      <c r="U7" s="13"/>
      <c r="V7" s="12"/>
      <c r="W7" s="12"/>
      <c r="X7" s="47">
        <f t="shared" si="1"/>
        <v>8.8006250000000001</v>
      </c>
      <c r="Y7" s="12"/>
    </row>
    <row r="8" spans="1:25" s="15" customFormat="1" ht="30" x14ac:dyDescent="0.25">
      <c r="A8" s="1" t="s">
        <v>0</v>
      </c>
      <c r="B8" s="1" t="s">
        <v>278</v>
      </c>
      <c r="C8" s="1" t="s">
        <v>1696</v>
      </c>
      <c r="D8" s="28" t="s">
        <v>338</v>
      </c>
      <c r="E8" s="29">
        <v>6.3</v>
      </c>
      <c r="F8" s="1" t="s">
        <v>4</v>
      </c>
      <c r="G8" s="5" t="s">
        <v>77</v>
      </c>
      <c r="H8" s="181"/>
      <c r="I8" s="6"/>
      <c r="J8" s="6" t="s">
        <v>194</v>
      </c>
      <c r="K8" s="5" t="s">
        <v>1449</v>
      </c>
      <c r="L8" s="6" t="s">
        <v>6</v>
      </c>
      <c r="M8" s="6" t="s">
        <v>7</v>
      </c>
      <c r="N8" s="304">
        <v>875</v>
      </c>
      <c r="O8" s="304">
        <v>2125</v>
      </c>
      <c r="P8" s="302">
        <f t="shared" si="0"/>
        <v>1.859375</v>
      </c>
      <c r="Q8" s="12"/>
      <c r="R8" s="12"/>
      <c r="S8" s="13">
        <v>10.44</v>
      </c>
      <c r="T8" s="12">
        <v>2.6</v>
      </c>
      <c r="U8" s="13"/>
      <c r="V8" s="12"/>
      <c r="W8" s="12"/>
      <c r="X8" s="47">
        <f t="shared" si="1"/>
        <v>25.284624999999998</v>
      </c>
      <c r="Y8" s="12"/>
    </row>
    <row r="9" spans="1:25" s="15" customFormat="1" ht="30" x14ac:dyDescent="0.25">
      <c r="A9" s="1" t="s">
        <v>0</v>
      </c>
      <c r="B9" s="1" t="s">
        <v>278</v>
      </c>
      <c r="C9" s="1" t="s">
        <v>1697</v>
      </c>
      <c r="D9" s="28" t="s">
        <v>65</v>
      </c>
      <c r="E9" s="29">
        <v>1.2</v>
      </c>
      <c r="F9" s="1" t="s">
        <v>4</v>
      </c>
      <c r="G9" s="5" t="s">
        <v>77</v>
      </c>
      <c r="H9" s="181"/>
      <c r="I9" s="6"/>
      <c r="J9" s="6" t="s">
        <v>194</v>
      </c>
      <c r="K9" s="5" t="s">
        <v>1449</v>
      </c>
      <c r="L9" s="6" t="s">
        <v>6</v>
      </c>
      <c r="M9" s="6" t="s">
        <v>7</v>
      </c>
      <c r="N9" s="304">
        <v>875</v>
      </c>
      <c r="O9" s="304">
        <v>2125</v>
      </c>
      <c r="P9" s="302">
        <f t="shared" si="0"/>
        <v>1.859375</v>
      </c>
      <c r="Q9" s="12"/>
      <c r="R9" s="12"/>
      <c r="S9" s="13">
        <v>4.0999999999999996</v>
      </c>
      <c r="T9" s="12">
        <v>2.6</v>
      </c>
      <c r="U9" s="13"/>
      <c r="V9" s="12"/>
      <c r="W9" s="12"/>
      <c r="X9" s="47">
        <f t="shared" si="1"/>
        <v>8.8006250000000001</v>
      </c>
      <c r="Y9" s="12"/>
    </row>
    <row r="10" spans="1:25" s="15" customFormat="1" ht="30" x14ac:dyDescent="0.25">
      <c r="A10" s="1" t="s">
        <v>0</v>
      </c>
      <c r="B10" s="1" t="s">
        <v>278</v>
      </c>
      <c r="C10" s="1" t="s">
        <v>1698</v>
      </c>
      <c r="D10" s="28" t="s">
        <v>65</v>
      </c>
      <c r="E10" s="29">
        <v>1.2</v>
      </c>
      <c r="F10" s="1" t="s">
        <v>4</v>
      </c>
      <c r="G10" s="5" t="s">
        <v>77</v>
      </c>
      <c r="H10" s="181"/>
      <c r="I10" s="6"/>
      <c r="J10" s="6" t="s">
        <v>194</v>
      </c>
      <c r="K10" s="5" t="s">
        <v>1449</v>
      </c>
      <c r="L10" s="6" t="s">
        <v>6</v>
      </c>
      <c r="M10" s="6" t="s">
        <v>7</v>
      </c>
      <c r="N10" s="304">
        <v>875</v>
      </c>
      <c r="O10" s="304">
        <v>2125</v>
      </c>
      <c r="P10" s="302">
        <f t="shared" si="0"/>
        <v>1.859375</v>
      </c>
      <c r="Q10" s="12"/>
      <c r="R10" s="12"/>
      <c r="S10" s="13">
        <v>4.0999999999999996</v>
      </c>
      <c r="T10" s="12">
        <v>2.6</v>
      </c>
      <c r="U10" s="13"/>
      <c r="V10" s="12"/>
      <c r="W10" s="12"/>
      <c r="X10" s="47">
        <f t="shared" si="1"/>
        <v>8.8006250000000001</v>
      </c>
      <c r="Y10" s="12"/>
    </row>
    <row r="11" spans="1:25" s="15" customFormat="1" ht="30" x14ac:dyDescent="0.25">
      <c r="A11" s="1" t="s">
        <v>0</v>
      </c>
      <c r="B11" s="1" t="s">
        <v>278</v>
      </c>
      <c r="C11" s="1" t="s">
        <v>1699</v>
      </c>
      <c r="D11" s="28" t="s">
        <v>65</v>
      </c>
      <c r="E11" s="29">
        <v>1.2</v>
      </c>
      <c r="F11" s="1" t="s">
        <v>4</v>
      </c>
      <c r="G11" s="5" t="s">
        <v>77</v>
      </c>
      <c r="H11" s="181"/>
      <c r="I11" s="6"/>
      <c r="J11" s="6" t="s">
        <v>194</v>
      </c>
      <c r="K11" s="5" t="s">
        <v>1449</v>
      </c>
      <c r="L11" s="6" t="s">
        <v>6</v>
      </c>
      <c r="M11" s="6" t="s">
        <v>7</v>
      </c>
      <c r="N11" s="304">
        <v>875</v>
      </c>
      <c r="O11" s="304">
        <v>2125</v>
      </c>
      <c r="P11" s="302">
        <f t="shared" si="0"/>
        <v>1.859375</v>
      </c>
      <c r="Q11" s="12"/>
      <c r="R11" s="12"/>
      <c r="S11" s="13">
        <v>4.0999999999999996</v>
      </c>
      <c r="T11" s="12">
        <v>2.6</v>
      </c>
      <c r="U11" s="13"/>
      <c r="V11" s="12"/>
      <c r="W11" s="12"/>
      <c r="X11" s="47">
        <f t="shared" si="1"/>
        <v>8.8006250000000001</v>
      </c>
      <c r="Y11" s="12"/>
    </row>
    <row r="12" spans="1:25" ht="17.25" x14ac:dyDescent="0.25">
      <c r="B12" s="280" t="s">
        <v>1552</v>
      </c>
      <c r="E12" s="286">
        <f>SUM(E5:E11)</f>
        <v>17.599999999999998</v>
      </c>
      <c r="F12" s="281" t="s">
        <v>1560</v>
      </c>
      <c r="N12" s="171"/>
      <c r="O12" s="171"/>
      <c r="P12" s="171"/>
    </row>
    <row r="13" spans="1:25" ht="30" x14ac:dyDescent="0.25">
      <c r="A13" s="1" t="s">
        <v>139</v>
      </c>
      <c r="B13" s="1" t="s">
        <v>278</v>
      </c>
      <c r="C13" s="1" t="s">
        <v>1700</v>
      </c>
      <c r="D13" s="1" t="s">
        <v>1701</v>
      </c>
      <c r="E13" s="29">
        <v>4.2</v>
      </c>
      <c r="F13" s="1" t="s">
        <v>4</v>
      </c>
      <c r="G13" s="6" t="s">
        <v>5</v>
      </c>
      <c r="H13" s="181"/>
      <c r="I13" s="5"/>
      <c r="J13" s="6" t="s">
        <v>194</v>
      </c>
      <c r="K13" s="5" t="s">
        <v>1449</v>
      </c>
      <c r="L13" s="12" t="s">
        <v>6</v>
      </c>
      <c r="M13" s="12" t="s">
        <v>7</v>
      </c>
      <c r="N13" s="301">
        <v>1125</v>
      </c>
      <c r="O13" s="303">
        <v>2125</v>
      </c>
      <c r="P13" s="302">
        <f t="shared" ref="P13:P31" si="2">N13*O13*0.000001</f>
        <v>2.390625</v>
      </c>
      <c r="Q13" s="13"/>
      <c r="R13" s="12"/>
      <c r="S13" s="13">
        <v>8.23</v>
      </c>
      <c r="T13" s="12">
        <v>2.6</v>
      </c>
      <c r="U13" s="13"/>
      <c r="V13" s="12"/>
      <c r="W13" s="12"/>
      <c r="X13" s="47">
        <f t="shared" ref="X13:X27" si="3">S13*T13-P13-Q13-Y13</f>
        <v>19.007375000000003</v>
      </c>
      <c r="Y13" s="13"/>
    </row>
    <row r="14" spans="1:25" ht="30" x14ac:dyDescent="0.25">
      <c r="A14" s="1" t="s">
        <v>139</v>
      </c>
      <c r="B14" s="1" t="s">
        <v>278</v>
      </c>
      <c r="C14" s="1" t="s">
        <v>1702</v>
      </c>
      <c r="D14" s="1" t="s">
        <v>3</v>
      </c>
      <c r="E14" s="29">
        <v>3.9</v>
      </c>
      <c r="F14" s="1" t="s">
        <v>4</v>
      </c>
      <c r="G14" s="6" t="s">
        <v>5</v>
      </c>
      <c r="H14" s="181"/>
      <c r="I14" s="5"/>
      <c r="J14" s="6" t="s">
        <v>194</v>
      </c>
      <c r="K14" s="5" t="s">
        <v>1449</v>
      </c>
      <c r="L14" s="12" t="s">
        <v>6</v>
      </c>
      <c r="M14" s="12" t="s">
        <v>7</v>
      </c>
      <c r="N14" s="301">
        <v>1750</v>
      </c>
      <c r="O14" s="303">
        <v>2125</v>
      </c>
      <c r="P14" s="302">
        <f t="shared" si="2"/>
        <v>3.71875</v>
      </c>
      <c r="Q14" s="13"/>
      <c r="R14" s="12"/>
      <c r="S14" s="13">
        <v>8.64</v>
      </c>
      <c r="T14" s="12">
        <v>2.6</v>
      </c>
      <c r="U14" s="13"/>
      <c r="V14" s="12"/>
      <c r="W14" s="12"/>
      <c r="X14" s="47">
        <f t="shared" si="3"/>
        <v>18.745250000000002</v>
      </c>
      <c r="Y14" s="13"/>
    </row>
    <row r="15" spans="1:25" ht="30" x14ac:dyDescent="0.25">
      <c r="A15" s="1" t="s">
        <v>139</v>
      </c>
      <c r="B15" s="1" t="s">
        <v>278</v>
      </c>
      <c r="C15" s="1" t="s">
        <v>1703</v>
      </c>
      <c r="D15" s="1" t="s">
        <v>46</v>
      </c>
      <c r="E15" s="29">
        <v>7.1</v>
      </c>
      <c r="F15" s="1" t="s">
        <v>4</v>
      </c>
      <c r="G15" s="6" t="s">
        <v>5</v>
      </c>
      <c r="H15" s="181"/>
      <c r="I15" s="5"/>
      <c r="J15" s="6" t="s">
        <v>194</v>
      </c>
      <c r="K15" s="5" t="s">
        <v>1449</v>
      </c>
      <c r="L15" s="12" t="s">
        <v>6</v>
      </c>
      <c r="M15" s="12" t="s">
        <v>7</v>
      </c>
      <c r="N15" s="301">
        <v>3500</v>
      </c>
      <c r="O15" s="303">
        <v>2125</v>
      </c>
      <c r="P15" s="302">
        <f t="shared" si="2"/>
        <v>7.4375</v>
      </c>
      <c r="Q15" s="13"/>
      <c r="R15" s="12"/>
      <c r="S15" s="13">
        <v>10.92</v>
      </c>
      <c r="T15" s="12">
        <v>2.6</v>
      </c>
      <c r="U15" s="13"/>
      <c r="V15" s="12"/>
      <c r="W15" s="12"/>
      <c r="X15" s="47">
        <f t="shared" si="3"/>
        <v>20.954499999999999</v>
      </c>
      <c r="Y15" s="13"/>
    </row>
    <row r="16" spans="1:25" ht="30" x14ac:dyDescent="0.25">
      <c r="A16" s="1" t="s">
        <v>139</v>
      </c>
      <c r="B16" s="1" t="s">
        <v>278</v>
      </c>
      <c r="C16" s="1" t="s">
        <v>1704</v>
      </c>
      <c r="D16" s="1" t="s">
        <v>65</v>
      </c>
      <c r="E16" s="29">
        <v>1.2</v>
      </c>
      <c r="F16" s="1" t="s">
        <v>4</v>
      </c>
      <c r="G16" s="6" t="s">
        <v>5</v>
      </c>
      <c r="H16" s="181"/>
      <c r="I16" s="5"/>
      <c r="J16" s="6" t="s">
        <v>194</v>
      </c>
      <c r="K16" s="5" t="s">
        <v>1449</v>
      </c>
      <c r="L16" s="12" t="s">
        <v>6</v>
      </c>
      <c r="M16" s="12" t="s">
        <v>7</v>
      </c>
      <c r="N16" s="301">
        <v>875</v>
      </c>
      <c r="O16" s="303">
        <v>2125</v>
      </c>
      <c r="P16" s="302">
        <f t="shared" si="2"/>
        <v>1.859375</v>
      </c>
      <c r="Q16" s="13"/>
      <c r="R16" s="12"/>
      <c r="S16" s="13">
        <v>4.2</v>
      </c>
      <c r="T16" s="12">
        <v>2.6</v>
      </c>
      <c r="U16" s="13"/>
      <c r="V16" s="12"/>
      <c r="W16" s="12"/>
      <c r="X16" s="47">
        <f t="shared" si="3"/>
        <v>9.0606250000000017</v>
      </c>
      <c r="Y16" s="13"/>
    </row>
    <row r="17" spans="1:25" ht="30" x14ac:dyDescent="0.25">
      <c r="A17" s="1" t="s">
        <v>139</v>
      </c>
      <c r="B17" s="1" t="s">
        <v>278</v>
      </c>
      <c r="C17" s="1" t="s">
        <v>1705</v>
      </c>
      <c r="D17" s="1" t="s">
        <v>65</v>
      </c>
      <c r="E17" s="29">
        <v>1.2</v>
      </c>
      <c r="F17" s="1" t="s">
        <v>4</v>
      </c>
      <c r="G17" s="6" t="s">
        <v>5</v>
      </c>
      <c r="H17" s="181"/>
      <c r="I17" s="5"/>
      <c r="J17" s="6" t="s">
        <v>194</v>
      </c>
      <c r="K17" s="5" t="s">
        <v>1449</v>
      </c>
      <c r="L17" s="179" t="s">
        <v>6</v>
      </c>
      <c r="M17" s="12" t="s">
        <v>7</v>
      </c>
      <c r="N17" s="301">
        <v>875</v>
      </c>
      <c r="O17" s="303">
        <v>2125</v>
      </c>
      <c r="P17" s="302">
        <f t="shared" si="2"/>
        <v>1.859375</v>
      </c>
      <c r="Q17" s="13"/>
      <c r="R17" s="12"/>
      <c r="S17" s="13">
        <v>4.0999999999999996</v>
      </c>
      <c r="T17" s="12">
        <v>2.6</v>
      </c>
      <c r="U17" s="13"/>
      <c r="V17" s="12"/>
      <c r="W17" s="12"/>
      <c r="X17" s="47">
        <f t="shared" si="3"/>
        <v>8.8006250000000001</v>
      </c>
      <c r="Y17" s="13"/>
    </row>
    <row r="18" spans="1:25" ht="30" x14ac:dyDescent="0.25">
      <c r="A18" s="1" t="s">
        <v>139</v>
      </c>
      <c r="B18" s="1" t="s">
        <v>278</v>
      </c>
      <c r="C18" s="1" t="s">
        <v>1706</v>
      </c>
      <c r="D18" s="1" t="s">
        <v>65</v>
      </c>
      <c r="E18" s="29">
        <v>1.2</v>
      </c>
      <c r="F18" s="1" t="s">
        <v>4</v>
      </c>
      <c r="G18" s="6" t="s">
        <v>5</v>
      </c>
      <c r="H18" s="181"/>
      <c r="I18" s="5"/>
      <c r="J18" s="6" t="s">
        <v>194</v>
      </c>
      <c r="K18" s="5" t="s">
        <v>1449</v>
      </c>
      <c r="L18" s="12" t="s">
        <v>6</v>
      </c>
      <c r="M18" s="179" t="s">
        <v>7</v>
      </c>
      <c r="N18" s="301">
        <v>875</v>
      </c>
      <c r="O18" s="303">
        <v>2125</v>
      </c>
      <c r="P18" s="302">
        <f t="shared" si="2"/>
        <v>1.859375</v>
      </c>
      <c r="Q18" s="13"/>
      <c r="R18" s="12"/>
      <c r="S18" s="13">
        <v>4.2</v>
      </c>
      <c r="T18" s="12">
        <v>2.6</v>
      </c>
      <c r="U18" s="13"/>
      <c r="V18" s="12"/>
      <c r="W18" s="12"/>
      <c r="X18" s="47">
        <f t="shared" si="3"/>
        <v>9.0606250000000017</v>
      </c>
      <c r="Y18" s="13"/>
    </row>
    <row r="19" spans="1:25" ht="30" x14ac:dyDescent="0.25">
      <c r="A19" s="151" t="s">
        <v>139</v>
      </c>
      <c r="B19" s="1" t="s">
        <v>1</v>
      </c>
      <c r="C19" s="1" t="s">
        <v>1707</v>
      </c>
      <c r="D19" s="1" t="s">
        <v>65</v>
      </c>
      <c r="E19" s="29">
        <v>1.2</v>
      </c>
      <c r="F19" s="1" t="s">
        <v>4</v>
      </c>
      <c r="G19" s="6" t="s">
        <v>5</v>
      </c>
      <c r="H19" s="181"/>
      <c r="I19" s="5"/>
      <c r="J19" s="6" t="s">
        <v>194</v>
      </c>
      <c r="K19" s="5" t="s">
        <v>1449</v>
      </c>
      <c r="L19" s="12" t="s">
        <v>6</v>
      </c>
      <c r="M19" s="12" t="s">
        <v>7</v>
      </c>
      <c r="N19" s="301">
        <v>750</v>
      </c>
      <c r="O19" s="303">
        <v>2100</v>
      </c>
      <c r="P19" s="302">
        <f t="shared" si="2"/>
        <v>1.575</v>
      </c>
      <c r="Q19" s="13"/>
      <c r="R19" s="12"/>
      <c r="S19" s="13">
        <v>4.1900000000000004</v>
      </c>
      <c r="T19" s="12">
        <v>2.7</v>
      </c>
      <c r="U19" s="13"/>
      <c r="V19" s="12"/>
      <c r="W19" s="12"/>
      <c r="X19" s="47">
        <f t="shared" si="3"/>
        <v>9.7380000000000031</v>
      </c>
      <c r="Y19" s="13"/>
    </row>
    <row r="20" spans="1:25" ht="30" x14ac:dyDescent="0.25">
      <c r="A20" s="151" t="s">
        <v>139</v>
      </c>
      <c r="B20" s="1" t="s">
        <v>1</v>
      </c>
      <c r="C20" s="1" t="s">
        <v>1708</v>
      </c>
      <c r="D20" s="1" t="s">
        <v>65</v>
      </c>
      <c r="E20" s="29">
        <v>1.4</v>
      </c>
      <c r="F20" s="1" t="s">
        <v>4</v>
      </c>
      <c r="G20" s="6" t="s">
        <v>5</v>
      </c>
      <c r="H20" s="181"/>
      <c r="I20" s="5"/>
      <c r="J20" s="6" t="s">
        <v>194</v>
      </c>
      <c r="K20" s="5" t="s">
        <v>1449</v>
      </c>
      <c r="L20" s="12" t="s">
        <v>6</v>
      </c>
      <c r="M20" s="12" t="s">
        <v>7</v>
      </c>
      <c r="N20" s="301">
        <v>750</v>
      </c>
      <c r="O20" s="303">
        <v>2100</v>
      </c>
      <c r="P20" s="302">
        <f t="shared" si="2"/>
        <v>1.575</v>
      </c>
      <c r="Q20" s="13"/>
      <c r="R20" s="12"/>
      <c r="S20" s="13">
        <v>4.47</v>
      </c>
      <c r="T20" s="12">
        <v>2.7</v>
      </c>
      <c r="U20" s="13"/>
      <c r="V20" s="12"/>
      <c r="W20" s="12"/>
      <c r="X20" s="47">
        <f t="shared" si="3"/>
        <v>10.494000000000002</v>
      </c>
      <c r="Y20" s="13"/>
    </row>
    <row r="21" spans="1:25" ht="30" x14ac:dyDescent="0.25">
      <c r="A21" s="151" t="s">
        <v>139</v>
      </c>
      <c r="B21" s="1" t="s">
        <v>1</v>
      </c>
      <c r="C21" s="1" t="s">
        <v>1709</v>
      </c>
      <c r="D21" s="1" t="s">
        <v>233</v>
      </c>
      <c r="E21" s="29">
        <v>4.5999999999999996</v>
      </c>
      <c r="F21" s="1" t="s">
        <v>4</v>
      </c>
      <c r="G21" s="6" t="s">
        <v>5</v>
      </c>
      <c r="H21" s="181"/>
      <c r="I21" s="5"/>
      <c r="J21" s="6" t="s">
        <v>194</v>
      </c>
      <c r="K21" s="5" t="s">
        <v>1449</v>
      </c>
      <c r="L21" s="12" t="s">
        <v>6</v>
      </c>
      <c r="M21" s="12" t="s">
        <v>7</v>
      </c>
      <c r="N21" s="301">
        <v>2400</v>
      </c>
      <c r="O21" s="303">
        <v>2100</v>
      </c>
      <c r="P21" s="302">
        <f t="shared" si="2"/>
        <v>5.04</v>
      </c>
      <c r="Q21" s="13"/>
      <c r="R21" s="12"/>
      <c r="S21" s="13">
        <v>10.18</v>
      </c>
      <c r="T21" s="12">
        <v>2.7</v>
      </c>
      <c r="U21" s="13"/>
      <c r="V21" s="12"/>
      <c r="W21" s="12"/>
      <c r="X21" s="47">
        <f t="shared" si="3"/>
        <v>22.446000000000002</v>
      </c>
      <c r="Y21" s="13"/>
    </row>
    <row r="22" spans="1:25" ht="30" x14ac:dyDescent="0.25">
      <c r="A22" s="151" t="s">
        <v>139</v>
      </c>
      <c r="B22" s="1" t="s">
        <v>1</v>
      </c>
      <c r="C22" s="1" t="s">
        <v>1710</v>
      </c>
      <c r="D22" s="1" t="s">
        <v>52</v>
      </c>
      <c r="E22" s="29">
        <v>4.9000000000000004</v>
      </c>
      <c r="F22" s="1" t="s">
        <v>4</v>
      </c>
      <c r="G22" s="6" t="s">
        <v>5</v>
      </c>
      <c r="H22" s="181"/>
      <c r="I22" s="5"/>
      <c r="J22" s="6" t="s">
        <v>194</v>
      </c>
      <c r="K22" s="5" t="s">
        <v>1449</v>
      </c>
      <c r="L22" s="12" t="s">
        <v>6</v>
      </c>
      <c r="M22" s="12" t="s">
        <v>7</v>
      </c>
      <c r="N22" s="301">
        <v>1800</v>
      </c>
      <c r="O22" s="303">
        <v>2100</v>
      </c>
      <c r="P22" s="302">
        <f t="shared" si="2"/>
        <v>3.78</v>
      </c>
      <c r="Q22" s="13"/>
      <c r="R22" s="12"/>
      <c r="S22" s="13">
        <v>10.56</v>
      </c>
      <c r="T22" s="12">
        <v>2.7</v>
      </c>
      <c r="U22" s="13"/>
      <c r="V22" s="12"/>
      <c r="W22" s="12"/>
      <c r="X22" s="47">
        <f t="shared" si="3"/>
        <v>24.732000000000003</v>
      </c>
      <c r="Y22" s="13"/>
    </row>
    <row r="23" spans="1:25" ht="30" x14ac:dyDescent="0.25">
      <c r="A23" s="151" t="s">
        <v>139</v>
      </c>
      <c r="B23" s="1" t="s">
        <v>1</v>
      </c>
      <c r="C23" s="1" t="s">
        <v>1711</v>
      </c>
      <c r="D23" s="1" t="s">
        <v>65</v>
      </c>
      <c r="E23" s="29">
        <v>1.5</v>
      </c>
      <c r="F23" s="1" t="s">
        <v>4</v>
      </c>
      <c r="G23" s="6" t="s">
        <v>5</v>
      </c>
      <c r="H23" s="181"/>
      <c r="I23" s="5"/>
      <c r="J23" s="6" t="s">
        <v>194</v>
      </c>
      <c r="K23" s="5" t="s">
        <v>1449</v>
      </c>
      <c r="L23" s="12" t="s">
        <v>6</v>
      </c>
      <c r="M23" s="12" t="s">
        <v>7</v>
      </c>
      <c r="N23" s="301">
        <v>750</v>
      </c>
      <c r="O23" s="303">
        <v>2100</v>
      </c>
      <c r="P23" s="302">
        <f t="shared" si="2"/>
        <v>1.575</v>
      </c>
      <c r="Q23" s="13"/>
      <c r="R23" s="12"/>
      <c r="S23" s="13">
        <v>4.74</v>
      </c>
      <c r="T23" s="12">
        <v>2.7</v>
      </c>
      <c r="U23" s="13"/>
      <c r="V23" s="12"/>
      <c r="W23" s="12"/>
      <c r="X23" s="47">
        <f t="shared" si="3"/>
        <v>11.223000000000003</v>
      </c>
      <c r="Y23" s="13"/>
    </row>
    <row r="24" spans="1:25" ht="30" x14ac:dyDescent="0.25">
      <c r="A24" s="151" t="s">
        <v>139</v>
      </c>
      <c r="B24" s="1" t="s">
        <v>1</v>
      </c>
      <c r="C24" s="1" t="s">
        <v>1712</v>
      </c>
      <c r="D24" s="1" t="s">
        <v>65</v>
      </c>
      <c r="E24" s="29">
        <v>1.5</v>
      </c>
      <c r="F24" s="1" t="s">
        <v>4</v>
      </c>
      <c r="G24" s="6" t="s">
        <v>5</v>
      </c>
      <c r="H24" s="181"/>
      <c r="I24" s="5"/>
      <c r="J24" s="6" t="s">
        <v>194</v>
      </c>
      <c r="K24" s="5" t="s">
        <v>1449</v>
      </c>
      <c r="L24" s="12" t="s">
        <v>6</v>
      </c>
      <c r="M24" s="12" t="s">
        <v>7</v>
      </c>
      <c r="N24" s="301">
        <v>900</v>
      </c>
      <c r="O24" s="303">
        <v>2100</v>
      </c>
      <c r="P24" s="302">
        <f t="shared" si="2"/>
        <v>1.89</v>
      </c>
      <c r="Q24" s="13"/>
      <c r="R24" s="12"/>
      <c r="S24" s="13">
        <v>4.78</v>
      </c>
      <c r="T24" s="12">
        <v>2.7</v>
      </c>
      <c r="U24" s="13"/>
      <c r="V24" s="12"/>
      <c r="W24" s="12"/>
      <c r="X24" s="47">
        <f t="shared" si="3"/>
        <v>11.016000000000002</v>
      </c>
      <c r="Y24" s="13"/>
    </row>
    <row r="25" spans="1:25" ht="30" x14ac:dyDescent="0.25">
      <c r="A25" s="151" t="s">
        <v>139</v>
      </c>
      <c r="B25" s="1" t="s">
        <v>1</v>
      </c>
      <c r="C25" s="1" t="s">
        <v>1713</v>
      </c>
      <c r="D25" s="1" t="s">
        <v>65</v>
      </c>
      <c r="E25" s="29">
        <v>1.5</v>
      </c>
      <c r="F25" s="1" t="s">
        <v>4</v>
      </c>
      <c r="G25" s="6" t="s">
        <v>5</v>
      </c>
      <c r="H25" s="181"/>
      <c r="I25" s="5"/>
      <c r="J25" s="6" t="s">
        <v>194</v>
      </c>
      <c r="K25" s="5" t="s">
        <v>1449</v>
      </c>
      <c r="L25" s="12" t="s">
        <v>6</v>
      </c>
      <c r="M25" s="12" t="s">
        <v>7</v>
      </c>
      <c r="N25" s="301">
        <v>900</v>
      </c>
      <c r="O25" s="303">
        <v>2100</v>
      </c>
      <c r="P25" s="302">
        <f t="shared" si="2"/>
        <v>1.89</v>
      </c>
      <c r="Q25" s="13"/>
      <c r="R25" s="12"/>
      <c r="S25" s="13">
        <v>4.9800000000000004</v>
      </c>
      <c r="T25" s="12">
        <v>2.7</v>
      </c>
      <c r="U25" s="13"/>
      <c r="V25" s="12"/>
      <c r="W25" s="12"/>
      <c r="X25" s="47">
        <f t="shared" si="3"/>
        <v>11.556000000000001</v>
      </c>
      <c r="Y25" s="13"/>
    </row>
    <row r="26" spans="1:25" ht="30" x14ac:dyDescent="0.25">
      <c r="A26" s="151" t="s">
        <v>139</v>
      </c>
      <c r="B26" s="1" t="s">
        <v>1</v>
      </c>
      <c r="C26" s="1" t="s">
        <v>1714</v>
      </c>
      <c r="D26" s="1" t="s">
        <v>46</v>
      </c>
      <c r="E26" s="29">
        <v>5.5</v>
      </c>
      <c r="F26" s="1" t="s">
        <v>4</v>
      </c>
      <c r="G26" s="6" t="s">
        <v>5</v>
      </c>
      <c r="H26" s="181"/>
      <c r="I26" s="5"/>
      <c r="J26" s="6" t="s">
        <v>194</v>
      </c>
      <c r="K26" s="5" t="s">
        <v>1449</v>
      </c>
      <c r="L26" s="12" t="s">
        <v>6</v>
      </c>
      <c r="M26" s="12" t="s">
        <v>7</v>
      </c>
      <c r="N26" s="301">
        <v>3450</v>
      </c>
      <c r="O26" s="303">
        <v>2100</v>
      </c>
      <c r="P26" s="302">
        <f t="shared" si="2"/>
        <v>7.2450000000000001</v>
      </c>
      <c r="Q26" s="13"/>
      <c r="R26" s="12"/>
      <c r="S26" s="13">
        <v>12.8</v>
      </c>
      <c r="T26" s="12">
        <v>2.7</v>
      </c>
      <c r="U26" s="13"/>
      <c r="V26" s="12"/>
      <c r="W26" s="12"/>
      <c r="X26" s="47">
        <f t="shared" si="3"/>
        <v>27.315000000000001</v>
      </c>
      <c r="Y26" s="13"/>
    </row>
    <row r="27" spans="1:25" ht="30" x14ac:dyDescent="0.25">
      <c r="A27" s="151" t="s">
        <v>139</v>
      </c>
      <c r="B27" s="1" t="s">
        <v>1</v>
      </c>
      <c r="C27" s="1" t="s">
        <v>1715</v>
      </c>
      <c r="D27" s="1" t="s">
        <v>1701</v>
      </c>
      <c r="E27" s="29">
        <v>4.8</v>
      </c>
      <c r="F27" s="1" t="s">
        <v>4</v>
      </c>
      <c r="G27" s="6" t="s">
        <v>5</v>
      </c>
      <c r="H27" s="181"/>
      <c r="I27" s="5"/>
      <c r="J27" s="6" t="s">
        <v>194</v>
      </c>
      <c r="K27" s="5" t="s">
        <v>1449</v>
      </c>
      <c r="L27" s="12" t="s">
        <v>425</v>
      </c>
      <c r="M27" s="12" t="s">
        <v>7</v>
      </c>
      <c r="N27" s="301">
        <v>1100</v>
      </c>
      <c r="O27" s="303">
        <v>2100</v>
      </c>
      <c r="P27" s="302">
        <f t="shared" si="2"/>
        <v>2.31</v>
      </c>
      <c r="Q27" s="13"/>
      <c r="R27" s="12"/>
      <c r="S27" s="13">
        <v>8.99</v>
      </c>
      <c r="T27" s="12">
        <v>2.6</v>
      </c>
      <c r="U27" s="13"/>
      <c r="V27" s="12"/>
      <c r="W27" s="12"/>
      <c r="X27" s="47">
        <f t="shared" si="3"/>
        <v>21.064000000000004</v>
      </c>
      <c r="Y27" s="13"/>
    </row>
    <row r="28" spans="1:25" ht="30" x14ac:dyDescent="0.25">
      <c r="A28" s="1" t="s">
        <v>139</v>
      </c>
      <c r="B28" s="1" t="s">
        <v>278</v>
      </c>
      <c r="C28" s="1" t="s">
        <v>1716</v>
      </c>
      <c r="D28" s="1" t="s">
        <v>52</v>
      </c>
      <c r="E28" s="29">
        <v>3.9</v>
      </c>
      <c r="F28" s="1" t="s">
        <v>4</v>
      </c>
      <c r="G28" s="6" t="s">
        <v>77</v>
      </c>
      <c r="H28" s="181"/>
      <c r="I28" s="5"/>
      <c r="J28" s="265" t="s">
        <v>194</v>
      </c>
      <c r="K28" s="5" t="s">
        <v>1449</v>
      </c>
      <c r="L28" s="12" t="s">
        <v>6</v>
      </c>
      <c r="M28" s="12" t="s">
        <v>7</v>
      </c>
      <c r="N28" s="301">
        <v>1750</v>
      </c>
      <c r="O28" s="303">
        <v>2125</v>
      </c>
      <c r="P28" s="302">
        <f t="shared" si="2"/>
        <v>3.71875</v>
      </c>
      <c r="Q28" s="13"/>
      <c r="R28" s="12"/>
      <c r="S28" s="13">
        <v>8.64</v>
      </c>
      <c r="T28" s="12">
        <v>2.6</v>
      </c>
      <c r="U28" s="13"/>
      <c r="V28" s="12"/>
      <c r="W28" s="12"/>
      <c r="X28" s="47">
        <f>S28*T28-P28-Q28-Y28</f>
        <v>18.745250000000002</v>
      </c>
      <c r="Y28" s="13"/>
    </row>
    <row r="29" spans="1:25" ht="30" x14ac:dyDescent="0.25">
      <c r="A29" s="1" t="s">
        <v>139</v>
      </c>
      <c r="B29" s="1" t="s">
        <v>278</v>
      </c>
      <c r="C29" s="1" t="s">
        <v>1717</v>
      </c>
      <c r="D29" s="1" t="s">
        <v>233</v>
      </c>
      <c r="E29" s="29">
        <v>8.6</v>
      </c>
      <c r="F29" s="1" t="s">
        <v>4</v>
      </c>
      <c r="G29" s="6" t="s">
        <v>77</v>
      </c>
      <c r="H29" s="181"/>
      <c r="I29" s="5"/>
      <c r="J29" s="6" t="s">
        <v>194</v>
      </c>
      <c r="K29" s="5" t="s">
        <v>1449</v>
      </c>
      <c r="L29" s="12" t="s">
        <v>6</v>
      </c>
      <c r="M29" s="12" t="s">
        <v>7</v>
      </c>
      <c r="N29" s="301">
        <v>2625</v>
      </c>
      <c r="O29" s="303">
        <v>2125</v>
      </c>
      <c r="P29" s="302">
        <f t="shared" si="2"/>
        <v>5.578125</v>
      </c>
      <c r="Q29" s="13"/>
      <c r="R29" s="12"/>
      <c r="S29" s="13">
        <v>13.52</v>
      </c>
      <c r="T29" s="12">
        <v>2.6</v>
      </c>
      <c r="U29" s="13"/>
      <c r="V29" s="12"/>
      <c r="W29" s="12"/>
      <c r="X29" s="47">
        <f>S29*T29-P29-Q29-Y29</f>
        <v>29.573875000000001</v>
      </c>
      <c r="Y29" s="13"/>
    </row>
    <row r="30" spans="1:25" ht="30" x14ac:dyDescent="0.25">
      <c r="A30" s="1" t="s">
        <v>139</v>
      </c>
      <c r="B30" s="1" t="s">
        <v>278</v>
      </c>
      <c r="C30" s="1" t="s">
        <v>1718</v>
      </c>
      <c r="D30" s="1" t="s">
        <v>65</v>
      </c>
      <c r="E30" s="29">
        <v>1.2</v>
      </c>
      <c r="F30" s="1" t="s">
        <v>4</v>
      </c>
      <c r="G30" s="6" t="s">
        <v>77</v>
      </c>
      <c r="H30" s="181"/>
      <c r="I30" s="5"/>
      <c r="J30" s="6" t="s">
        <v>194</v>
      </c>
      <c r="K30" s="5" t="s">
        <v>1449</v>
      </c>
      <c r="L30" s="12" t="s">
        <v>6</v>
      </c>
      <c r="M30" s="12" t="s">
        <v>7</v>
      </c>
      <c r="N30" s="301">
        <v>875</v>
      </c>
      <c r="O30" s="303">
        <v>2125</v>
      </c>
      <c r="P30" s="302">
        <f t="shared" si="2"/>
        <v>1.859375</v>
      </c>
      <c r="Q30" s="13"/>
      <c r="R30" s="12"/>
      <c r="S30" s="13">
        <v>4.0999999999999996</v>
      </c>
      <c r="T30" s="12">
        <v>2.6</v>
      </c>
      <c r="U30" s="13"/>
      <c r="V30" s="12"/>
      <c r="W30" s="12"/>
      <c r="X30" s="47">
        <f>S30*T30-P30-Q30-Y30</f>
        <v>8.8006250000000001</v>
      </c>
      <c r="Y30" s="13"/>
    </row>
    <row r="31" spans="1:25" ht="30" x14ac:dyDescent="0.25">
      <c r="A31" s="1" t="s">
        <v>139</v>
      </c>
      <c r="B31" s="1" t="s">
        <v>278</v>
      </c>
      <c r="C31" s="1" t="s">
        <v>1719</v>
      </c>
      <c r="D31" s="1" t="s">
        <v>65</v>
      </c>
      <c r="E31" s="29">
        <v>1.2</v>
      </c>
      <c r="F31" s="1" t="s">
        <v>4</v>
      </c>
      <c r="G31" s="6" t="s">
        <v>77</v>
      </c>
      <c r="H31" s="181"/>
      <c r="I31" s="5"/>
      <c r="J31" s="6" t="s">
        <v>194</v>
      </c>
      <c r="K31" s="5" t="s">
        <v>1449</v>
      </c>
      <c r="L31" s="12" t="s">
        <v>6</v>
      </c>
      <c r="M31" s="12" t="s">
        <v>7</v>
      </c>
      <c r="N31" s="301">
        <v>875</v>
      </c>
      <c r="O31" s="303">
        <v>2125</v>
      </c>
      <c r="P31" s="302">
        <f t="shared" si="2"/>
        <v>1.859375</v>
      </c>
      <c r="Q31" s="13"/>
      <c r="R31" s="12"/>
      <c r="S31" s="13">
        <v>4.0999999999999996</v>
      </c>
      <c r="T31" s="12">
        <v>2.6</v>
      </c>
      <c r="U31" s="13"/>
      <c r="V31" s="12"/>
      <c r="W31" s="12"/>
      <c r="X31" s="47">
        <f>S31*T31-P31-Q31-Y31</f>
        <v>8.8006250000000001</v>
      </c>
      <c r="Y31" s="13"/>
    </row>
    <row r="32" spans="1:25" ht="17.25" x14ac:dyDescent="0.25">
      <c r="B32" s="280" t="s">
        <v>1553</v>
      </c>
      <c r="E32" s="286">
        <f>SUM(E13:E31)</f>
        <v>60.599999999999994</v>
      </c>
      <c r="F32" s="281" t="s">
        <v>1560</v>
      </c>
      <c r="N32" s="171"/>
      <c r="O32" s="171"/>
      <c r="P32" s="171"/>
    </row>
    <row r="33" spans="1:25" s="149" customFormat="1" ht="30" x14ac:dyDescent="0.25">
      <c r="A33" s="151" t="s">
        <v>160</v>
      </c>
      <c r="B33" s="151" t="s">
        <v>278</v>
      </c>
      <c r="C33" s="151" t="s">
        <v>1720</v>
      </c>
      <c r="D33" s="151" t="s">
        <v>375</v>
      </c>
      <c r="E33" s="248">
        <v>2.5</v>
      </c>
      <c r="F33" s="151" t="s">
        <v>4</v>
      </c>
      <c r="G33" s="6" t="s">
        <v>5</v>
      </c>
      <c r="H33" s="181"/>
      <c r="I33" s="6"/>
      <c r="J33" s="6" t="s">
        <v>194</v>
      </c>
      <c r="K33" s="5" t="s">
        <v>1449</v>
      </c>
      <c r="L33" s="12" t="s">
        <v>6</v>
      </c>
      <c r="M33" s="6" t="s">
        <v>7</v>
      </c>
      <c r="N33" s="301">
        <v>1750</v>
      </c>
      <c r="O33" s="303">
        <v>2125</v>
      </c>
      <c r="P33" s="302">
        <f t="shared" ref="P33:P42" si="4">N33*O33*0.000001</f>
        <v>3.71875</v>
      </c>
      <c r="Q33" s="12"/>
      <c r="R33" s="12"/>
      <c r="S33" s="13">
        <v>6.55</v>
      </c>
      <c r="T33" s="12">
        <v>2.6</v>
      </c>
      <c r="U33" s="12"/>
      <c r="V33" s="12"/>
      <c r="W33" s="12"/>
      <c r="X33" s="152">
        <f t="shared" ref="X33:X41" si="5">S33*T33-P33-Q33-Y33</f>
        <v>13.311250000000001</v>
      </c>
      <c r="Y33" s="12"/>
    </row>
    <row r="34" spans="1:25" s="149" customFormat="1" ht="30" x14ac:dyDescent="0.25">
      <c r="A34" s="151" t="s">
        <v>160</v>
      </c>
      <c r="B34" s="151" t="s">
        <v>278</v>
      </c>
      <c r="C34" s="151" t="s">
        <v>1721</v>
      </c>
      <c r="D34" s="151" t="s">
        <v>335</v>
      </c>
      <c r="E34" s="248">
        <v>8.9</v>
      </c>
      <c r="F34" s="151" t="s">
        <v>4</v>
      </c>
      <c r="G34" s="6" t="s">
        <v>5</v>
      </c>
      <c r="H34" s="181"/>
      <c r="I34" s="6"/>
      <c r="J34" s="6" t="s">
        <v>194</v>
      </c>
      <c r="K34" s="5" t="s">
        <v>1449</v>
      </c>
      <c r="L34" s="12" t="s">
        <v>6</v>
      </c>
      <c r="M34" s="6" t="s">
        <v>7</v>
      </c>
      <c r="N34" s="301">
        <v>1750</v>
      </c>
      <c r="O34" s="303">
        <v>2125</v>
      </c>
      <c r="P34" s="302">
        <f t="shared" si="4"/>
        <v>3.71875</v>
      </c>
      <c r="Q34" s="12"/>
      <c r="R34" s="12"/>
      <c r="S34" s="13">
        <v>11.97</v>
      </c>
      <c r="T34" s="12">
        <v>2.6</v>
      </c>
      <c r="U34" s="12"/>
      <c r="V34" s="12"/>
      <c r="W34" s="12"/>
      <c r="X34" s="152">
        <f t="shared" si="5"/>
        <v>27.403250000000003</v>
      </c>
      <c r="Y34" s="12"/>
    </row>
    <row r="35" spans="1:25" s="149" customFormat="1" ht="30" x14ac:dyDescent="0.25">
      <c r="A35" s="151" t="s">
        <v>160</v>
      </c>
      <c r="B35" s="151" t="s">
        <v>278</v>
      </c>
      <c r="C35" s="151" t="s">
        <v>1722</v>
      </c>
      <c r="D35" s="151" t="s">
        <v>65</v>
      </c>
      <c r="E35" s="248">
        <v>1.2</v>
      </c>
      <c r="F35" s="151" t="s">
        <v>4</v>
      </c>
      <c r="G35" s="6" t="s">
        <v>5</v>
      </c>
      <c r="H35" s="181"/>
      <c r="I35" s="6"/>
      <c r="J35" s="6" t="s">
        <v>194</v>
      </c>
      <c r="K35" s="5" t="s">
        <v>1449</v>
      </c>
      <c r="L35" s="12" t="s">
        <v>6</v>
      </c>
      <c r="M35" s="6" t="s">
        <v>7</v>
      </c>
      <c r="N35" s="301">
        <v>875</v>
      </c>
      <c r="O35" s="303">
        <v>2125</v>
      </c>
      <c r="P35" s="302">
        <f t="shared" si="4"/>
        <v>1.859375</v>
      </c>
      <c r="Q35" s="12"/>
      <c r="R35" s="12"/>
      <c r="S35" s="13">
        <v>4.0999999999999996</v>
      </c>
      <c r="T35" s="12">
        <v>2.6</v>
      </c>
      <c r="U35" s="12"/>
      <c r="V35" s="12"/>
      <c r="W35" s="12"/>
      <c r="X35" s="152">
        <f t="shared" si="5"/>
        <v>8.8006250000000001</v>
      </c>
      <c r="Y35" s="12"/>
    </row>
    <row r="36" spans="1:25" s="149" customFormat="1" ht="30" x14ac:dyDescent="0.25">
      <c r="A36" s="151" t="s">
        <v>160</v>
      </c>
      <c r="B36" s="151" t="s">
        <v>278</v>
      </c>
      <c r="C36" s="151" t="s">
        <v>1723</v>
      </c>
      <c r="D36" s="151" t="s">
        <v>65</v>
      </c>
      <c r="E36" s="248">
        <v>1.2</v>
      </c>
      <c r="F36" s="151" t="s">
        <v>4</v>
      </c>
      <c r="G36" s="6" t="s">
        <v>5</v>
      </c>
      <c r="H36" s="181"/>
      <c r="I36" s="6"/>
      <c r="J36" s="6" t="s">
        <v>194</v>
      </c>
      <c r="K36" s="5" t="s">
        <v>1449</v>
      </c>
      <c r="L36" s="12" t="s">
        <v>6</v>
      </c>
      <c r="M36" s="6" t="s">
        <v>7</v>
      </c>
      <c r="N36" s="301">
        <v>875</v>
      </c>
      <c r="O36" s="303">
        <v>2125</v>
      </c>
      <c r="P36" s="302">
        <f t="shared" si="4"/>
        <v>1.859375</v>
      </c>
      <c r="Q36" s="12"/>
      <c r="R36" s="12"/>
      <c r="S36" s="13">
        <v>4.0999999999999996</v>
      </c>
      <c r="T36" s="12">
        <v>2.6</v>
      </c>
      <c r="U36" s="12"/>
      <c r="V36" s="12"/>
      <c r="W36" s="12"/>
      <c r="X36" s="152">
        <f t="shared" si="5"/>
        <v>8.8006250000000001</v>
      </c>
      <c r="Y36" s="12"/>
    </row>
    <row r="37" spans="1:25" s="149" customFormat="1" ht="30" x14ac:dyDescent="0.25">
      <c r="A37" s="151" t="s">
        <v>160</v>
      </c>
      <c r="B37" s="151" t="s">
        <v>278</v>
      </c>
      <c r="C37" s="151" t="s">
        <v>1724</v>
      </c>
      <c r="D37" s="151" t="s">
        <v>65</v>
      </c>
      <c r="E37" s="248">
        <v>1.2</v>
      </c>
      <c r="F37" s="151" t="s">
        <v>4</v>
      </c>
      <c r="G37" s="6" t="s">
        <v>5</v>
      </c>
      <c r="H37" s="181"/>
      <c r="I37" s="6"/>
      <c r="J37" s="6" t="s">
        <v>194</v>
      </c>
      <c r="K37" s="5" t="s">
        <v>1449</v>
      </c>
      <c r="L37" s="12" t="s">
        <v>6</v>
      </c>
      <c r="M37" s="6" t="s">
        <v>7</v>
      </c>
      <c r="N37" s="301">
        <v>875</v>
      </c>
      <c r="O37" s="303">
        <v>2125</v>
      </c>
      <c r="P37" s="302">
        <f t="shared" si="4"/>
        <v>1.859375</v>
      </c>
      <c r="Q37" s="12"/>
      <c r="R37" s="12"/>
      <c r="S37" s="13">
        <v>4.2</v>
      </c>
      <c r="T37" s="12">
        <v>2.6</v>
      </c>
      <c r="U37" s="12"/>
      <c r="V37" s="12"/>
      <c r="W37" s="12"/>
      <c r="X37" s="152">
        <f t="shared" si="5"/>
        <v>9.0606250000000017</v>
      </c>
      <c r="Y37" s="12"/>
    </row>
    <row r="38" spans="1:25" s="149" customFormat="1" ht="30" x14ac:dyDescent="0.25">
      <c r="A38" s="151" t="s">
        <v>160</v>
      </c>
      <c r="B38" s="151" t="s">
        <v>278</v>
      </c>
      <c r="C38" s="151" t="s">
        <v>1725</v>
      </c>
      <c r="D38" s="151" t="s">
        <v>65</v>
      </c>
      <c r="E38" s="248">
        <v>1.2</v>
      </c>
      <c r="F38" s="151" t="s">
        <v>4</v>
      </c>
      <c r="G38" s="6" t="s">
        <v>5</v>
      </c>
      <c r="H38" s="181"/>
      <c r="I38" s="6"/>
      <c r="J38" s="6" t="s">
        <v>194</v>
      </c>
      <c r="K38" s="5" t="s">
        <v>1449</v>
      </c>
      <c r="L38" s="12" t="s">
        <v>6</v>
      </c>
      <c r="M38" s="6" t="s">
        <v>7</v>
      </c>
      <c r="N38" s="301">
        <v>875</v>
      </c>
      <c r="O38" s="303">
        <v>2125</v>
      </c>
      <c r="P38" s="302">
        <f t="shared" si="4"/>
        <v>1.859375</v>
      </c>
      <c r="Q38" s="12"/>
      <c r="R38" s="12"/>
      <c r="S38" s="13">
        <v>4.0999999999999996</v>
      </c>
      <c r="T38" s="12">
        <v>2.6</v>
      </c>
      <c r="U38" s="12"/>
      <c r="V38" s="12"/>
      <c r="W38" s="12"/>
      <c r="X38" s="152">
        <f t="shared" si="5"/>
        <v>8.8006250000000001</v>
      </c>
      <c r="Y38" s="12"/>
    </row>
    <row r="39" spans="1:25" s="149" customFormat="1" ht="30" x14ac:dyDescent="0.25">
      <c r="A39" s="151" t="s">
        <v>160</v>
      </c>
      <c r="B39" s="151" t="s">
        <v>278</v>
      </c>
      <c r="C39" s="151" t="s">
        <v>1726</v>
      </c>
      <c r="D39" s="151" t="s">
        <v>65</v>
      </c>
      <c r="E39" s="248">
        <v>1.2</v>
      </c>
      <c r="F39" s="151" t="s">
        <v>4</v>
      </c>
      <c r="G39" s="6" t="s">
        <v>5</v>
      </c>
      <c r="H39" s="181"/>
      <c r="I39" s="6"/>
      <c r="J39" s="6" t="s">
        <v>194</v>
      </c>
      <c r="K39" s="5" t="s">
        <v>1449</v>
      </c>
      <c r="L39" s="12" t="s">
        <v>6</v>
      </c>
      <c r="M39" s="6" t="s">
        <v>7</v>
      </c>
      <c r="N39" s="301">
        <v>875</v>
      </c>
      <c r="O39" s="303">
        <v>2125</v>
      </c>
      <c r="P39" s="302">
        <f t="shared" si="4"/>
        <v>1.859375</v>
      </c>
      <c r="Q39" s="12"/>
      <c r="R39" s="12"/>
      <c r="S39" s="13">
        <v>4.2</v>
      </c>
      <c r="T39" s="12">
        <v>2.6</v>
      </c>
      <c r="U39" s="12"/>
      <c r="V39" s="12"/>
      <c r="W39" s="12"/>
      <c r="X39" s="152">
        <f t="shared" si="5"/>
        <v>9.0606250000000017</v>
      </c>
      <c r="Y39" s="12"/>
    </row>
    <row r="40" spans="1:25" s="149" customFormat="1" ht="30" x14ac:dyDescent="0.25">
      <c r="A40" s="151" t="s">
        <v>160</v>
      </c>
      <c r="B40" s="151" t="s">
        <v>278</v>
      </c>
      <c r="C40" s="151" t="s">
        <v>1727</v>
      </c>
      <c r="D40" s="151" t="s">
        <v>46</v>
      </c>
      <c r="E40" s="248">
        <v>2.6</v>
      </c>
      <c r="F40" s="151" t="s">
        <v>4</v>
      </c>
      <c r="G40" s="6" t="s">
        <v>5</v>
      </c>
      <c r="H40" s="181"/>
      <c r="I40" s="6"/>
      <c r="J40" s="6" t="s">
        <v>194</v>
      </c>
      <c r="K40" s="5" t="s">
        <v>1449</v>
      </c>
      <c r="L40" s="12" t="s">
        <v>6</v>
      </c>
      <c r="M40" s="6" t="s">
        <v>7</v>
      </c>
      <c r="N40" s="301">
        <v>1750</v>
      </c>
      <c r="O40" s="303">
        <v>2125</v>
      </c>
      <c r="P40" s="302">
        <f t="shared" si="4"/>
        <v>3.71875</v>
      </c>
      <c r="Q40" s="12"/>
      <c r="R40" s="12"/>
      <c r="S40" s="13">
        <v>6.8</v>
      </c>
      <c r="T40" s="12">
        <v>2.6</v>
      </c>
      <c r="U40" s="12"/>
      <c r="V40" s="12"/>
      <c r="W40" s="12"/>
      <c r="X40" s="152">
        <f t="shared" si="5"/>
        <v>13.96125</v>
      </c>
      <c r="Y40" s="12"/>
    </row>
    <row r="41" spans="1:25" s="149" customFormat="1" ht="30" x14ac:dyDescent="0.25">
      <c r="A41" s="151" t="s">
        <v>160</v>
      </c>
      <c r="B41" s="151" t="s">
        <v>278</v>
      </c>
      <c r="C41" s="151" t="s">
        <v>1728</v>
      </c>
      <c r="D41" s="151" t="s">
        <v>1701</v>
      </c>
      <c r="E41" s="248">
        <v>4.4000000000000004</v>
      </c>
      <c r="F41" s="151" t="s">
        <v>4</v>
      </c>
      <c r="G41" s="6" t="s">
        <v>5</v>
      </c>
      <c r="H41" s="181"/>
      <c r="I41" s="6"/>
      <c r="J41" s="6" t="s">
        <v>194</v>
      </c>
      <c r="K41" s="5" t="s">
        <v>1449</v>
      </c>
      <c r="L41" s="12" t="s">
        <v>81</v>
      </c>
      <c r="M41" s="6" t="s">
        <v>7</v>
      </c>
      <c r="N41" s="301">
        <v>1125</v>
      </c>
      <c r="O41" s="303">
        <v>2125</v>
      </c>
      <c r="P41" s="302">
        <f t="shared" si="4"/>
        <v>2.390625</v>
      </c>
      <c r="Q41" s="12"/>
      <c r="R41" s="12"/>
      <c r="S41" s="13">
        <v>8.6999999999999993</v>
      </c>
      <c r="T41" s="12">
        <v>2.6</v>
      </c>
      <c r="U41" s="12"/>
      <c r="V41" s="12"/>
      <c r="W41" s="12"/>
      <c r="X41" s="152">
        <f t="shared" si="5"/>
        <v>20.229374999999997</v>
      </c>
      <c r="Y41" s="12"/>
    </row>
    <row r="42" spans="1:25" s="149" customFormat="1" ht="30" x14ac:dyDescent="0.25">
      <c r="A42" s="151" t="s">
        <v>160</v>
      </c>
      <c r="B42" s="151" t="s">
        <v>278</v>
      </c>
      <c r="C42" s="151" t="s">
        <v>1729</v>
      </c>
      <c r="D42" s="151" t="s">
        <v>3</v>
      </c>
      <c r="E42" s="248">
        <v>4.7</v>
      </c>
      <c r="F42" s="151" t="s">
        <v>4</v>
      </c>
      <c r="G42" s="6" t="s">
        <v>77</v>
      </c>
      <c r="H42" s="181"/>
      <c r="I42" s="6"/>
      <c r="J42" s="6" t="s">
        <v>194</v>
      </c>
      <c r="K42" s="5" t="s">
        <v>1449</v>
      </c>
      <c r="L42" s="12" t="s">
        <v>6</v>
      </c>
      <c r="M42" s="6" t="s">
        <v>7</v>
      </c>
      <c r="N42" s="301">
        <v>4375</v>
      </c>
      <c r="O42" s="303">
        <v>2125</v>
      </c>
      <c r="P42" s="302">
        <f t="shared" si="4"/>
        <v>9.296875</v>
      </c>
      <c r="Q42" s="12"/>
      <c r="R42" s="12"/>
      <c r="S42" s="13">
        <v>9.42</v>
      </c>
      <c r="T42" s="12">
        <v>2.6</v>
      </c>
      <c r="U42" s="12"/>
      <c r="V42" s="12"/>
      <c r="W42" s="12"/>
      <c r="X42" s="152">
        <f>S42*T42-P42-Q42-Y42</f>
        <v>15.195125000000001</v>
      </c>
      <c r="Y42" s="12"/>
    </row>
    <row r="43" spans="1:25" ht="17.25" x14ac:dyDescent="0.25">
      <c r="B43" s="280" t="s">
        <v>1559</v>
      </c>
      <c r="E43" s="286">
        <f>SUM(E33:E42)</f>
        <v>29.099999999999998</v>
      </c>
      <c r="F43" s="281" t="s">
        <v>1560</v>
      </c>
      <c r="N43" s="171"/>
      <c r="O43" s="171"/>
      <c r="P43" s="171"/>
    </row>
    <row r="44" spans="1:25" ht="30" x14ac:dyDescent="0.25">
      <c r="A44" s="151" t="s">
        <v>230</v>
      </c>
      <c r="B44" s="151" t="s">
        <v>278</v>
      </c>
      <c r="C44" s="151" t="s">
        <v>1730</v>
      </c>
      <c r="D44" s="151" t="s">
        <v>52</v>
      </c>
      <c r="E44" s="248">
        <v>2.5</v>
      </c>
      <c r="F44" s="151" t="s">
        <v>4</v>
      </c>
      <c r="G44" s="6" t="s">
        <v>5</v>
      </c>
      <c r="H44" s="181"/>
      <c r="I44" s="6"/>
      <c r="J44" s="6" t="s">
        <v>194</v>
      </c>
      <c r="K44" s="5" t="s">
        <v>1449</v>
      </c>
      <c r="L44" s="12" t="s">
        <v>6</v>
      </c>
      <c r="M44" s="6" t="s">
        <v>7</v>
      </c>
      <c r="N44" s="303">
        <v>1750</v>
      </c>
      <c r="O44" s="303">
        <v>2125</v>
      </c>
      <c r="P44" s="302">
        <f t="shared" ref="P44:P53" si="6">N44*O44*0.000001</f>
        <v>3.71875</v>
      </c>
      <c r="Q44" s="12"/>
      <c r="R44" s="12"/>
      <c r="S44" s="12">
        <v>6.55</v>
      </c>
      <c r="T44" s="12">
        <v>2.6</v>
      </c>
      <c r="U44" s="12"/>
      <c r="V44" s="12"/>
      <c r="W44" s="12"/>
      <c r="X44" s="152">
        <f t="shared" ref="X44:X53" si="7">S44*T44-P44-Q44-Y44</f>
        <v>13.311250000000001</v>
      </c>
      <c r="Y44" s="12"/>
    </row>
    <row r="45" spans="1:25" s="107" customFormat="1" ht="30" x14ac:dyDescent="0.25">
      <c r="A45" s="151" t="s">
        <v>230</v>
      </c>
      <c r="B45" s="151" t="s">
        <v>278</v>
      </c>
      <c r="C45" s="151" t="s">
        <v>1731</v>
      </c>
      <c r="D45" s="151" t="s">
        <v>233</v>
      </c>
      <c r="E45" s="248">
        <v>8.6</v>
      </c>
      <c r="F45" s="151" t="s">
        <v>4</v>
      </c>
      <c r="G45" s="6" t="s">
        <v>5</v>
      </c>
      <c r="H45" s="181"/>
      <c r="I45" s="6"/>
      <c r="J45" s="6" t="s">
        <v>194</v>
      </c>
      <c r="K45" s="5" t="s">
        <v>1449</v>
      </c>
      <c r="L45" s="12" t="s">
        <v>6</v>
      </c>
      <c r="M45" s="6" t="s">
        <v>7</v>
      </c>
      <c r="N45" s="303">
        <v>1750</v>
      </c>
      <c r="O45" s="303">
        <v>2125</v>
      </c>
      <c r="P45" s="302">
        <f t="shared" si="6"/>
        <v>3.71875</v>
      </c>
      <c r="Q45" s="12"/>
      <c r="R45" s="12"/>
      <c r="S45" s="12">
        <v>11.97</v>
      </c>
      <c r="T45" s="12">
        <v>2.6</v>
      </c>
      <c r="U45" s="12"/>
      <c r="V45" s="12"/>
      <c r="W45" s="12"/>
      <c r="X45" s="152">
        <f t="shared" si="7"/>
        <v>27.403250000000003</v>
      </c>
      <c r="Y45" s="12"/>
    </row>
    <row r="46" spans="1:25" ht="30" x14ac:dyDescent="0.25">
      <c r="A46" s="252" t="s">
        <v>230</v>
      </c>
      <c r="B46" s="252" t="s">
        <v>278</v>
      </c>
      <c r="C46" s="252" t="s">
        <v>1732</v>
      </c>
      <c r="D46" s="252" t="s">
        <v>65</v>
      </c>
      <c r="E46" s="248">
        <v>1.05</v>
      </c>
      <c r="F46" s="1" t="s">
        <v>4</v>
      </c>
      <c r="G46" s="6" t="s">
        <v>5</v>
      </c>
      <c r="H46" s="181"/>
      <c r="I46" s="6"/>
      <c r="J46" s="6" t="s">
        <v>194</v>
      </c>
      <c r="K46" s="5" t="s">
        <v>1449</v>
      </c>
      <c r="L46" s="179" t="s">
        <v>6</v>
      </c>
      <c r="M46" s="6" t="s">
        <v>7</v>
      </c>
      <c r="N46" s="303">
        <v>875</v>
      </c>
      <c r="O46" s="303">
        <v>2125</v>
      </c>
      <c r="P46" s="302">
        <f t="shared" si="6"/>
        <v>1.859375</v>
      </c>
      <c r="Q46" s="12"/>
      <c r="R46" s="12"/>
      <c r="S46" s="12">
        <v>4.0999999999999996</v>
      </c>
      <c r="T46" s="12">
        <v>2.6</v>
      </c>
      <c r="U46" s="12"/>
      <c r="V46" s="12"/>
      <c r="W46" s="12"/>
      <c r="X46" s="152">
        <f t="shared" si="7"/>
        <v>8.8006250000000001</v>
      </c>
      <c r="Y46" s="12"/>
    </row>
    <row r="47" spans="1:25" ht="30" x14ac:dyDescent="0.25">
      <c r="A47" s="151" t="s">
        <v>230</v>
      </c>
      <c r="B47" s="151" t="s">
        <v>278</v>
      </c>
      <c r="C47" s="151" t="s">
        <v>1733</v>
      </c>
      <c r="D47" s="151" t="s">
        <v>46</v>
      </c>
      <c r="E47" s="248">
        <v>2.6</v>
      </c>
      <c r="F47" s="151" t="s">
        <v>4</v>
      </c>
      <c r="G47" s="6" t="s">
        <v>5</v>
      </c>
      <c r="H47" s="181"/>
      <c r="I47" s="6"/>
      <c r="J47" s="6" t="s">
        <v>194</v>
      </c>
      <c r="K47" s="5" t="s">
        <v>1449</v>
      </c>
      <c r="L47" s="12" t="s">
        <v>6</v>
      </c>
      <c r="M47" s="6" t="s">
        <v>7</v>
      </c>
      <c r="N47" s="303">
        <v>1750</v>
      </c>
      <c r="O47" s="303">
        <v>2125</v>
      </c>
      <c r="P47" s="302">
        <f t="shared" si="6"/>
        <v>3.71875</v>
      </c>
      <c r="Q47" s="12"/>
      <c r="R47" s="12"/>
      <c r="S47" s="12">
        <v>6.8</v>
      </c>
      <c r="T47" s="12">
        <v>2.6</v>
      </c>
      <c r="U47" s="12"/>
      <c r="V47" s="12"/>
      <c r="W47" s="12"/>
      <c r="X47" s="152">
        <f t="shared" si="7"/>
        <v>13.96125</v>
      </c>
      <c r="Y47" s="12"/>
    </row>
    <row r="48" spans="1:25" ht="30" x14ac:dyDescent="0.25">
      <c r="A48" s="151" t="s">
        <v>230</v>
      </c>
      <c r="B48" s="151" t="s">
        <v>278</v>
      </c>
      <c r="C48" s="151" t="s">
        <v>1734</v>
      </c>
      <c r="D48" s="151" t="s">
        <v>3</v>
      </c>
      <c r="E48" s="248">
        <v>4.7</v>
      </c>
      <c r="F48" s="151" t="s">
        <v>4</v>
      </c>
      <c r="G48" s="6" t="s">
        <v>5</v>
      </c>
      <c r="H48" s="181"/>
      <c r="I48" s="6"/>
      <c r="J48" s="6" t="s">
        <v>194</v>
      </c>
      <c r="K48" s="5" t="s">
        <v>1449</v>
      </c>
      <c r="L48" s="12" t="s">
        <v>6</v>
      </c>
      <c r="M48" s="6" t="s">
        <v>7</v>
      </c>
      <c r="N48" s="303">
        <v>4375</v>
      </c>
      <c r="O48" s="303">
        <v>2125</v>
      </c>
      <c r="P48" s="302">
        <f t="shared" si="6"/>
        <v>9.296875</v>
      </c>
      <c r="Q48" s="12"/>
      <c r="R48" s="12"/>
      <c r="S48" s="12">
        <v>9.42</v>
      </c>
      <c r="T48" s="12">
        <v>2.6</v>
      </c>
      <c r="U48" s="12"/>
      <c r="V48" s="12"/>
      <c r="W48" s="12"/>
      <c r="X48" s="152">
        <f t="shared" si="7"/>
        <v>15.195125000000001</v>
      </c>
      <c r="Y48" s="12"/>
    </row>
    <row r="49" spans="1:25" ht="30" x14ac:dyDescent="0.25">
      <c r="A49" s="151" t="s">
        <v>230</v>
      </c>
      <c r="B49" s="151" t="s">
        <v>278</v>
      </c>
      <c r="C49" s="151" t="s">
        <v>1735</v>
      </c>
      <c r="D49" s="151" t="s">
        <v>65</v>
      </c>
      <c r="E49" s="248">
        <v>1.2</v>
      </c>
      <c r="F49" s="151" t="s">
        <v>4</v>
      </c>
      <c r="G49" s="6" t="s">
        <v>5</v>
      </c>
      <c r="H49" s="181"/>
      <c r="I49" s="6"/>
      <c r="J49" s="6" t="s">
        <v>194</v>
      </c>
      <c r="K49" s="5" t="s">
        <v>1449</v>
      </c>
      <c r="L49" s="12" t="s">
        <v>6</v>
      </c>
      <c r="M49" s="6" t="s">
        <v>7</v>
      </c>
      <c r="N49" s="303">
        <v>875</v>
      </c>
      <c r="O49" s="303">
        <v>2125</v>
      </c>
      <c r="P49" s="302">
        <f t="shared" si="6"/>
        <v>1.859375</v>
      </c>
      <c r="Q49" s="12"/>
      <c r="R49" s="12"/>
      <c r="S49" s="12">
        <v>4.0999999999999996</v>
      </c>
      <c r="T49" s="12">
        <v>2.6</v>
      </c>
      <c r="U49" s="12"/>
      <c r="V49" s="12"/>
      <c r="W49" s="12"/>
      <c r="X49" s="152">
        <f t="shared" si="7"/>
        <v>8.8006250000000001</v>
      </c>
      <c r="Y49" s="12"/>
    </row>
    <row r="50" spans="1:25" ht="30" x14ac:dyDescent="0.25">
      <c r="A50" s="151" t="s">
        <v>230</v>
      </c>
      <c r="B50" s="151" t="s">
        <v>278</v>
      </c>
      <c r="C50" s="151" t="s">
        <v>1736</v>
      </c>
      <c r="D50" s="151" t="s">
        <v>65</v>
      </c>
      <c r="E50" s="248">
        <v>1.2</v>
      </c>
      <c r="F50" s="151" t="s">
        <v>4</v>
      </c>
      <c r="G50" s="6" t="s">
        <v>5</v>
      </c>
      <c r="H50" s="181"/>
      <c r="I50" s="6"/>
      <c r="J50" s="6" t="s">
        <v>194</v>
      </c>
      <c r="K50" s="5" t="s">
        <v>1449</v>
      </c>
      <c r="L50" s="12" t="s">
        <v>6</v>
      </c>
      <c r="M50" s="6" t="s">
        <v>7</v>
      </c>
      <c r="N50" s="303">
        <v>875</v>
      </c>
      <c r="O50" s="303">
        <v>2125</v>
      </c>
      <c r="P50" s="302">
        <f t="shared" si="6"/>
        <v>1.859375</v>
      </c>
      <c r="Q50" s="12"/>
      <c r="R50" s="12"/>
      <c r="S50" s="12">
        <v>4.2</v>
      </c>
      <c r="T50" s="12">
        <v>2.6</v>
      </c>
      <c r="U50" s="12"/>
      <c r="V50" s="12"/>
      <c r="W50" s="12"/>
      <c r="X50" s="152">
        <f t="shared" si="7"/>
        <v>9.0606250000000017</v>
      </c>
      <c r="Y50" s="12"/>
    </row>
    <row r="51" spans="1:25" ht="30" x14ac:dyDescent="0.25">
      <c r="A51" s="151" t="s">
        <v>230</v>
      </c>
      <c r="B51" s="151" t="s">
        <v>278</v>
      </c>
      <c r="C51" s="151" t="s">
        <v>1737</v>
      </c>
      <c r="D51" s="151" t="s">
        <v>65</v>
      </c>
      <c r="E51" s="248">
        <v>1.2</v>
      </c>
      <c r="F51" s="151" t="s">
        <v>4</v>
      </c>
      <c r="G51" s="6" t="s">
        <v>5</v>
      </c>
      <c r="H51" s="181"/>
      <c r="I51" s="6"/>
      <c r="J51" s="6" t="s">
        <v>194</v>
      </c>
      <c r="K51" s="5" t="s">
        <v>1449</v>
      </c>
      <c r="L51" s="12" t="s">
        <v>6</v>
      </c>
      <c r="M51" s="6" t="s">
        <v>7</v>
      </c>
      <c r="N51" s="303">
        <v>875</v>
      </c>
      <c r="O51" s="303">
        <v>2125</v>
      </c>
      <c r="P51" s="302">
        <f t="shared" si="6"/>
        <v>1.859375</v>
      </c>
      <c r="Q51" s="12"/>
      <c r="R51" s="12"/>
      <c r="S51" s="12">
        <v>4.0999999999999996</v>
      </c>
      <c r="T51" s="12">
        <v>2.6</v>
      </c>
      <c r="U51" s="12"/>
      <c r="V51" s="12"/>
      <c r="W51" s="12"/>
      <c r="X51" s="152">
        <f t="shared" si="7"/>
        <v>8.8006250000000001</v>
      </c>
      <c r="Y51" s="12"/>
    </row>
    <row r="52" spans="1:25" ht="30" x14ac:dyDescent="0.25">
      <c r="A52" s="151" t="s">
        <v>230</v>
      </c>
      <c r="B52" s="151" t="s">
        <v>278</v>
      </c>
      <c r="C52" s="151" t="s">
        <v>1738</v>
      </c>
      <c r="D52" s="151" t="s">
        <v>65</v>
      </c>
      <c r="E52" s="248">
        <v>1.3</v>
      </c>
      <c r="F52" s="151" t="s">
        <v>4</v>
      </c>
      <c r="G52" s="6" t="s">
        <v>5</v>
      </c>
      <c r="H52" s="181"/>
      <c r="I52" s="6"/>
      <c r="J52" s="6" t="s">
        <v>194</v>
      </c>
      <c r="K52" s="5" t="s">
        <v>1449</v>
      </c>
      <c r="L52" s="12" t="s">
        <v>6</v>
      </c>
      <c r="M52" s="6" t="s">
        <v>7</v>
      </c>
      <c r="N52" s="303">
        <v>875</v>
      </c>
      <c r="O52" s="303">
        <v>2125</v>
      </c>
      <c r="P52" s="302">
        <f t="shared" si="6"/>
        <v>1.859375</v>
      </c>
      <c r="Q52" s="12"/>
      <c r="R52" s="12"/>
      <c r="S52" s="12">
        <v>4.2</v>
      </c>
      <c r="T52" s="12">
        <v>2.6</v>
      </c>
      <c r="U52" s="12"/>
      <c r="V52" s="12"/>
      <c r="W52" s="12"/>
      <c r="X52" s="152">
        <f t="shared" si="7"/>
        <v>9.0606250000000017</v>
      </c>
      <c r="Y52" s="12"/>
    </row>
    <row r="53" spans="1:25" ht="30" x14ac:dyDescent="0.25">
      <c r="A53" s="151" t="s">
        <v>230</v>
      </c>
      <c r="B53" s="151" t="s">
        <v>278</v>
      </c>
      <c r="C53" s="151" t="s">
        <v>1739</v>
      </c>
      <c r="D53" s="151" t="s">
        <v>1701</v>
      </c>
      <c r="E53" s="248">
        <v>4.4000000000000004</v>
      </c>
      <c r="F53" s="151" t="s">
        <v>4</v>
      </c>
      <c r="G53" s="6" t="s">
        <v>5</v>
      </c>
      <c r="H53" s="181"/>
      <c r="I53" s="6"/>
      <c r="J53" s="6" t="s">
        <v>194</v>
      </c>
      <c r="K53" s="5" t="s">
        <v>1449</v>
      </c>
      <c r="L53" s="12" t="s">
        <v>81</v>
      </c>
      <c r="M53" s="6" t="s">
        <v>7</v>
      </c>
      <c r="N53" s="303">
        <v>1125</v>
      </c>
      <c r="O53" s="303">
        <v>2125</v>
      </c>
      <c r="P53" s="302">
        <f t="shared" si="6"/>
        <v>2.390625</v>
      </c>
      <c r="Q53" s="12"/>
      <c r="R53" s="12"/>
      <c r="S53" s="12">
        <v>8.6999999999999993</v>
      </c>
      <c r="T53" s="12">
        <v>2.6</v>
      </c>
      <c r="U53" s="12"/>
      <c r="V53" s="12"/>
      <c r="W53" s="12"/>
      <c r="X53" s="152">
        <f t="shared" si="7"/>
        <v>20.229374999999997</v>
      </c>
      <c r="Y53" s="12"/>
    </row>
    <row r="54" spans="1:25" ht="17.25" x14ac:dyDescent="0.25">
      <c r="B54" s="280" t="s">
        <v>1558</v>
      </c>
      <c r="E54" s="286">
        <f>SUM(E44:E53)</f>
        <v>28.75</v>
      </c>
      <c r="F54" s="281" t="s">
        <v>1560</v>
      </c>
      <c r="N54" s="171"/>
      <c r="O54" s="171"/>
      <c r="P54" s="171"/>
    </row>
    <row r="55" spans="1:25" ht="30" x14ac:dyDescent="0.25">
      <c r="A55" s="151" t="s">
        <v>748</v>
      </c>
      <c r="B55" s="151" t="s">
        <v>278</v>
      </c>
      <c r="C55" s="151" t="s">
        <v>1740</v>
      </c>
      <c r="D55" s="151" t="s">
        <v>1701</v>
      </c>
      <c r="E55" s="248">
        <v>4.2</v>
      </c>
      <c r="F55" s="151" t="s">
        <v>4</v>
      </c>
      <c r="G55" s="5" t="s">
        <v>5</v>
      </c>
      <c r="H55" s="181"/>
      <c r="I55" s="5"/>
      <c r="J55" s="5" t="s">
        <v>194</v>
      </c>
      <c r="K55" s="5" t="s">
        <v>1449</v>
      </c>
      <c r="L55" s="179" t="s">
        <v>6</v>
      </c>
      <c r="M55" s="6" t="s">
        <v>7</v>
      </c>
      <c r="N55" s="301">
        <v>1125</v>
      </c>
      <c r="O55" s="303">
        <v>2125</v>
      </c>
      <c r="P55" s="302">
        <f t="shared" ref="P55:P57" si="8">N55*O55*0.000001</f>
        <v>2.390625</v>
      </c>
      <c r="Q55" s="12"/>
      <c r="R55" s="12"/>
      <c r="S55" s="12">
        <v>8.26</v>
      </c>
      <c r="T55" s="12">
        <v>2.6</v>
      </c>
      <c r="U55" s="152"/>
      <c r="V55" s="152"/>
      <c r="W55" s="152"/>
      <c r="X55" s="152">
        <f>S55*T55-P55</f>
        <v>19.085374999999999</v>
      </c>
      <c r="Y55" s="12"/>
    </row>
    <row r="56" spans="1:25" ht="30" x14ac:dyDescent="0.25">
      <c r="A56" s="151" t="s">
        <v>748</v>
      </c>
      <c r="B56" s="151" t="s">
        <v>278</v>
      </c>
      <c r="C56" s="151" t="s">
        <v>1741</v>
      </c>
      <c r="D56" s="151" t="s">
        <v>219</v>
      </c>
      <c r="E56" s="248">
        <v>1.4</v>
      </c>
      <c r="F56" s="151" t="s">
        <v>4</v>
      </c>
      <c r="G56" s="5" t="s">
        <v>77</v>
      </c>
      <c r="H56" s="181"/>
      <c r="I56" s="5"/>
      <c r="J56" s="5" t="s">
        <v>194</v>
      </c>
      <c r="K56" s="5" t="s">
        <v>1449</v>
      </c>
      <c r="L56" s="12" t="s">
        <v>6</v>
      </c>
      <c r="M56" s="6" t="s">
        <v>7</v>
      </c>
      <c r="N56" s="301">
        <v>1500</v>
      </c>
      <c r="O56" s="303">
        <v>2125</v>
      </c>
      <c r="P56" s="302">
        <f t="shared" si="8"/>
        <v>3.1875</v>
      </c>
      <c r="Q56" s="12"/>
      <c r="R56" s="12"/>
      <c r="S56" s="12">
        <v>5</v>
      </c>
      <c r="T56" s="12">
        <v>2.6</v>
      </c>
      <c r="U56" s="152"/>
      <c r="V56" s="152"/>
      <c r="W56" s="152"/>
      <c r="X56" s="152">
        <f>S56*T56-P56</f>
        <v>9.8125</v>
      </c>
      <c r="Y56" s="12"/>
    </row>
    <row r="57" spans="1:25" ht="30" x14ac:dyDescent="0.25">
      <c r="A57" s="151" t="s">
        <v>748</v>
      </c>
      <c r="B57" s="151" t="s">
        <v>278</v>
      </c>
      <c r="C57" s="151" t="s">
        <v>1742</v>
      </c>
      <c r="D57" s="151" t="s">
        <v>65</v>
      </c>
      <c r="E57" s="248">
        <v>1.4</v>
      </c>
      <c r="F57" s="151" t="s">
        <v>4</v>
      </c>
      <c r="G57" s="5" t="s">
        <v>77</v>
      </c>
      <c r="H57" s="181"/>
      <c r="I57" s="5"/>
      <c r="J57" s="5" t="s">
        <v>194</v>
      </c>
      <c r="K57" s="5" t="s">
        <v>1449</v>
      </c>
      <c r="L57" s="12" t="s">
        <v>6</v>
      </c>
      <c r="M57" s="6" t="s">
        <v>7</v>
      </c>
      <c r="N57" s="301">
        <v>750</v>
      </c>
      <c r="O57" s="303">
        <v>2125</v>
      </c>
      <c r="P57" s="302">
        <f t="shared" si="8"/>
        <v>1.59375</v>
      </c>
      <c r="Q57" s="12"/>
      <c r="R57" s="12"/>
      <c r="S57" s="12">
        <v>4.72</v>
      </c>
      <c r="T57" s="12">
        <v>2.6</v>
      </c>
      <c r="U57" s="152"/>
      <c r="V57" s="152"/>
      <c r="W57" s="152"/>
      <c r="X57" s="152">
        <f>S57*T57-P57</f>
        <v>10.67825</v>
      </c>
      <c r="Y57" s="12"/>
    </row>
    <row r="58" spans="1:25" ht="17.25" x14ac:dyDescent="0.25">
      <c r="B58" s="280" t="s">
        <v>1557</v>
      </c>
      <c r="E58" s="286">
        <f>SUM(E55:E57)</f>
        <v>7</v>
      </c>
      <c r="F58" s="281" t="s">
        <v>1560</v>
      </c>
    </row>
    <row r="59" spans="1:25" ht="17.25" x14ac:dyDescent="0.25">
      <c r="C59" s="280" t="s">
        <v>1550</v>
      </c>
      <c r="E59" s="286">
        <f>E12+E32+E43+E54+E58</f>
        <v>143.04999999999998</v>
      </c>
      <c r="F59" s="281" t="s">
        <v>1560</v>
      </c>
    </row>
    <row r="61" spans="1:25" x14ac:dyDescent="0.25">
      <c r="C61" s="278" t="s">
        <v>1807</v>
      </c>
      <c r="D61" s="342"/>
      <c r="E61" s="358"/>
      <c r="F61" s="65"/>
    </row>
    <row r="62" spans="1:25" ht="17.25" x14ac:dyDescent="0.25">
      <c r="C62" s="65"/>
      <c r="D62" s="358" t="s">
        <v>1808</v>
      </c>
      <c r="E62" s="345">
        <f>SUM(E13:E27)+SUM(E33:E41)+SUM(E44:E53)+E55</f>
        <v>103.05</v>
      </c>
      <c r="F62" s="342" t="s">
        <v>1560</v>
      </c>
    </row>
    <row r="63" spans="1:25" ht="17.25" x14ac:dyDescent="0.25">
      <c r="C63" s="65"/>
      <c r="D63" s="358" t="s">
        <v>37</v>
      </c>
      <c r="E63" s="345">
        <v>0</v>
      </c>
      <c r="F63" s="342" t="s">
        <v>1560</v>
      </c>
    </row>
    <row r="64" spans="1:25" ht="17.25" x14ac:dyDescent="0.25">
      <c r="C64" s="65"/>
      <c r="D64" s="358" t="s">
        <v>77</v>
      </c>
      <c r="E64" s="345">
        <f>SUM(E5:E11)+SUM(E28:E31)+E42+E56+E57</f>
        <v>40</v>
      </c>
      <c r="F64" s="342" t="s">
        <v>1560</v>
      </c>
    </row>
    <row r="65" spans="3:6" ht="17.25" x14ac:dyDescent="0.25">
      <c r="C65" s="65"/>
      <c r="D65" s="358" t="s">
        <v>229</v>
      </c>
      <c r="E65" s="345">
        <v>0</v>
      </c>
      <c r="F65" s="342" t="s">
        <v>1560</v>
      </c>
    </row>
    <row r="66" spans="3:6" ht="17.25" x14ac:dyDescent="0.25">
      <c r="C66" s="65"/>
      <c r="D66" s="359" t="s">
        <v>274</v>
      </c>
      <c r="E66" s="345">
        <f>SUM(E62:E65)</f>
        <v>143.05000000000001</v>
      </c>
      <c r="F66" s="342" t="s">
        <v>1560</v>
      </c>
    </row>
    <row r="68" spans="3:6" x14ac:dyDescent="0.25">
      <c r="C68" s="284" t="s">
        <v>1988</v>
      </c>
      <c r="E68" s="503"/>
    </row>
    <row r="69" spans="3:6" x14ac:dyDescent="0.25">
      <c r="C69" s="278" t="s">
        <v>2021</v>
      </c>
      <c r="E69" s="503"/>
    </row>
    <row r="70" spans="3:6" x14ac:dyDescent="0.25">
      <c r="C70" s="278"/>
      <c r="E70" s="503" t="s">
        <v>2022</v>
      </c>
    </row>
    <row r="71" spans="3:6" x14ac:dyDescent="0.25">
      <c r="C71" s="284" t="s">
        <v>2084</v>
      </c>
    </row>
    <row r="72" spans="3:6" x14ac:dyDescent="0.25">
      <c r="C72" s="278" t="s">
        <v>2006</v>
      </c>
    </row>
  </sheetData>
  <sheetProtection password="87E5" sheet="1" objects="1" scenarios="1"/>
  <mergeCells count="22">
    <mergeCell ref="L1:L4"/>
    <mergeCell ref="A1:F3"/>
    <mergeCell ref="G1:G4"/>
    <mergeCell ref="I1:I4"/>
    <mergeCell ref="J1:J4"/>
    <mergeCell ref="K1:K4"/>
    <mergeCell ref="E4:F4"/>
    <mergeCell ref="H1:H4"/>
    <mergeCell ref="Y1:Y4"/>
    <mergeCell ref="M1:O4"/>
    <mergeCell ref="P1:P4"/>
    <mergeCell ref="Q1:Q4"/>
    <mergeCell ref="R1:R4"/>
    <mergeCell ref="X3:X4"/>
    <mergeCell ref="U2:V2"/>
    <mergeCell ref="W2:X2"/>
    <mergeCell ref="S1:S4"/>
    <mergeCell ref="T1:T4"/>
    <mergeCell ref="U3:U4"/>
    <mergeCell ref="V3:V4"/>
    <mergeCell ref="W3:W4"/>
    <mergeCell ref="U1:X1"/>
  </mergeCells>
  <dataValidations count="1">
    <dataValidation type="list" allowBlank="1" showInputMessage="1" showErrorMessage="1" sqref="G55:H57 H13:H31 G44:H53 G5:H11 G33:H42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70" fitToHeight="0" orientation="landscape" r:id="rId1"/>
  <headerFooter>
    <oddFooter>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zoomScale="80" zoomScaleNormal="8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C18" sqref="C18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2.7109375" customWidth="1"/>
    <col min="5" max="5" width="6" style="250" bestFit="1" customWidth="1"/>
    <col min="6" max="6" width="4.140625" customWidth="1"/>
    <col min="7" max="7" width="10.85546875" customWidth="1"/>
    <col min="8" max="8" width="14.85546875" customWidth="1"/>
    <col min="9" max="9" width="11.42578125" customWidth="1"/>
    <col min="10" max="10" width="10.5703125" customWidth="1"/>
    <col min="11" max="11" width="25.42578125" style="64" customWidth="1"/>
    <col min="12" max="12" width="8.42578125" customWidth="1"/>
    <col min="13" max="13" width="7.7109375" customWidth="1"/>
    <col min="14" max="14" width="4.42578125" customWidth="1"/>
    <col min="15" max="15" width="5.5703125" customWidth="1"/>
    <col min="16" max="17" width="7.5703125" customWidth="1"/>
    <col min="18" max="18" width="9" customWidth="1"/>
    <col min="19" max="19" width="7.7109375" customWidth="1"/>
    <col min="20" max="20" width="7.42578125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25" ht="15" customHeight="1" x14ac:dyDescent="0.25">
      <c r="A1" s="642" t="s">
        <v>1750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1563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25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5" s="163" customFormat="1" ht="36.7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5" ht="15.75" thickBot="1" x14ac:dyDescent="0.3">
      <c r="A4" s="211" t="s">
        <v>129</v>
      </c>
      <c r="B4" s="213" t="s">
        <v>130</v>
      </c>
      <c r="C4" s="213" t="s">
        <v>131</v>
      </c>
      <c r="D4" s="213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25" ht="30" x14ac:dyDescent="0.25">
      <c r="A5" s="177" t="s">
        <v>277</v>
      </c>
      <c r="B5" s="177" t="s">
        <v>228</v>
      </c>
      <c r="C5" s="177" t="s">
        <v>1745</v>
      </c>
      <c r="D5" s="177" t="s">
        <v>1746</v>
      </c>
      <c r="E5" s="194">
        <v>11.4</v>
      </c>
      <c r="F5" s="177" t="s">
        <v>4</v>
      </c>
      <c r="G5" s="22" t="s">
        <v>229</v>
      </c>
      <c r="H5" s="180"/>
      <c r="I5" s="22"/>
      <c r="J5" s="22" t="s">
        <v>194</v>
      </c>
      <c r="K5" s="21" t="s">
        <v>1749</v>
      </c>
      <c r="L5" s="177" t="s">
        <v>6</v>
      </c>
      <c r="M5" s="177" t="s">
        <v>7</v>
      </c>
      <c r="N5" s="177">
        <v>875</v>
      </c>
      <c r="O5" s="177">
        <v>2125</v>
      </c>
      <c r="P5" s="140">
        <f t="shared" ref="P5:P6" si="0">N5*O5*0.000001</f>
        <v>1.859375</v>
      </c>
      <c r="Q5" s="140"/>
      <c r="R5" s="140"/>
      <c r="S5" s="140">
        <v>14</v>
      </c>
      <c r="T5" s="140">
        <v>2.5</v>
      </c>
      <c r="U5" s="140"/>
      <c r="V5" s="140"/>
      <c r="W5" s="140"/>
      <c r="X5" s="140">
        <f>S5*T5-P5</f>
        <v>33.140625</v>
      </c>
      <c r="Y5" s="140"/>
    </row>
    <row r="6" spans="1:25" ht="30" x14ac:dyDescent="0.25">
      <c r="A6" s="139" t="s">
        <v>277</v>
      </c>
      <c r="B6" s="139" t="s">
        <v>228</v>
      </c>
      <c r="C6" s="139" t="s">
        <v>1747</v>
      </c>
      <c r="D6" s="139" t="s">
        <v>138</v>
      </c>
      <c r="E6" s="190">
        <v>14.8</v>
      </c>
      <c r="F6" s="139" t="s">
        <v>4</v>
      </c>
      <c r="G6" s="6" t="s">
        <v>229</v>
      </c>
      <c r="H6" s="181"/>
      <c r="I6" s="6"/>
      <c r="J6" s="6" t="s">
        <v>194</v>
      </c>
      <c r="K6" s="5" t="s">
        <v>1749</v>
      </c>
      <c r="L6" s="139" t="s">
        <v>6</v>
      </c>
      <c r="M6" s="139" t="s">
        <v>7</v>
      </c>
      <c r="N6" s="139">
        <v>875</v>
      </c>
      <c r="O6" s="139">
        <v>2125</v>
      </c>
      <c r="P6" s="140">
        <f t="shared" si="0"/>
        <v>1.859375</v>
      </c>
      <c r="Q6" s="141"/>
      <c r="R6" s="141"/>
      <c r="S6" s="141">
        <v>15.54</v>
      </c>
      <c r="T6" s="141">
        <v>2.5</v>
      </c>
      <c r="U6" s="141"/>
      <c r="V6" s="141"/>
      <c r="W6" s="141"/>
      <c r="X6" s="141">
        <f>S6*T6-P6</f>
        <v>36.990624999999994</v>
      </c>
      <c r="Y6" s="141"/>
    </row>
    <row r="7" spans="1:25" s="284" customFormat="1" ht="17.25" x14ac:dyDescent="0.25">
      <c r="B7" s="284" t="s">
        <v>1748</v>
      </c>
      <c r="E7" s="286">
        <f>SUM(E5:E6)</f>
        <v>26.200000000000003</v>
      </c>
      <c r="F7" s="284" t="s">
        <v>1560</v>
      </c>
      <c r="H7"/>
      <c r="K7" s="305"/>
    </row>
    <row r="8" spans="1:25" s="284" customFormat="1" ht="17.25" x14ac:dyDescent="0.25">
      <c r="C8" s="284" t="s">
        <v>1550</v>
      </c>
      <c r="E8" s="286">
        <f>E7</f>
        <v>26.200000000000003</v>
      </c>
      <c r="F8" s="284" t="s">
        <v>1586</v>
      </c>
      <c r="H8"/>
      <c r="K8" s="305"/>
    </row>
    <row r="10" spans="1:25" x14ac:dyDescent="0.25">
      <c r="C10" s="278" t="s">
        <v>1807</v>
      </c>
      <c r="D10" s="342"/>
      <c r="E10" s="358"/>
      <c r="F10" s="65"/>
    </row>
    <row r="11" spans="1:25" ht="17.25" x14ac:dyDescent="0.25">
      <c r="C11" s="65"/>
      <c r="D11" s="358" t="s">
        <v>1808</v>
      </c>
      <c r="E11" s="345">
        <v>0</v>
      </c>
      <c r="F11" s="342" t="s">
        <v>1560</v>
      </c>
    </row>
    <row r="12" spans="1:25" ht="17.25" x14ac:dyDescent="0.25">
      <c r="C12" s="65"/>
      <c r="D12" s="358" t="s">
        <v>37</v>
      </c>
      <c r="E12" s="345">
        <v>0</v>
      </c>
      <c r="F12" s="342" t="s">
        <v>1560</v>
      </c>
    </row>
    <row r="13" spans="1:25" ht="17.25" x14ac:dyDescent="0.25">
      <c r="C13" s="65"/>
      <c r="D13" s="358" t="s">
        <v>77</v>
      </c>
      <c r="E13" s="345">
        <v>0</v>
      </c>
      <c r="F13" s="342" t="s">
        <v>1560</v>
      </c>
    </row>
    <row r="14" spans="1:25" ht="17.25" x14ac:dyDescent="0.25">
      <c r="C14" s="65"/>
      <c r="D14" s="358" t="s">
        <v>229</v>
      </c>
      <c r="E14" s="345">
        <f>E5+E6</f>
        <v>26.200000000000003</v>
      </c>
      <c r="F14" s="342" t="s">
        <v>1560</v>
      </c>
    </row>
    <row r="15" spans="1:25" ht="17.25" x14ac:dyDescent="0.25">
      <c r="C15" s="65"/>
      <c r="D15" s="359" t="s">
        <v>274</v>
      </c>
      <c r="E15" s="345">
        <f>SUM(E11:E14)</f>
        <v>26.200000000000003</v>
      </c>
      <c r="F15" s="342" t="s">
        <v>1560</v>
      </c>
    </row>
    <row r="17" spans="3:11" x14ac:dyDescent="0.25">
      <c r="C17" s="284" t="s">
        <v>2014</v>
      </c>
    </row>
    <row r="18" spans="3:11" x14ac:dyDescent="0.25">
      <c r="C18" s="508" t="s">
        <v>2067</v>
      </c>
    </row>
    <row r="19" spans="3:11" x14ac:dyDescent="0.25">
      <c r="C19" s="540" t="s">
        <v>2015</v>
      </c>
      <c r="D19" s="300"/>
      <c r="E19" s="539"/>
      <c r="F19" s="300"/>
      <c r="G19" s="300"/>
    </row>
    <row r="20" spans="3:11" x14ac:dyDescent="0.25">
      <c r="C20" s="300" t="s">
        <v>2018</v>
      </c>
      <c r="D20" s="300"/>
      <c r="E20" s="539"/>
      <c r="F20" s="300"/>
      <c r="G20" s="300"/>
    </row>
    <row r="21" spans="3:11" x14ac:dyDescent="0.25">
      <c r="C21" s="540" t="s">
        <v>2016</v>
      </c>
      <c r="D21" s="300"/>
      <c r="E21" s="539"/>
      <c r="F21" s="300"/>
      <c r="G21" s="300"/>
    </row>
    <row r="22" spans="3:11" x14ac:dyDescent="0.25">
      <c r="C22" s="540" t="s">
        <v>2017</v>
      </c>
      <c r="D22" s="300"/>
      <c r="E22" s="539"/>
      <c r="F22" s="300"/>
      <c r="G22" s="300"/>
    </row>
    <row r="23" spans="3:11" x14ac:dyDescent="0.25">
      <c r="C23" s="186"/>
      <c r="D23" s="538"/>
      <c r="E23" s="186"/>
      <c r="F23" s="186"/>
      <c r="J23" s="64"/>
      <c r="K23"/>
    </row>
  </sheetData>
  <sheetProtection password="87E5" sheet="1" objects="1" scenarios="1"/>
  <mergeCells count="22">
    <mergeCell ref="L1:L4"/>
    <mergeCell ref="A1:F3"/>
    <mergeCell ref="G1:G4"/>
    <mergeCell ref="I1:I4"/>
    <mergeCell ref="J1:J4"/>
    <mergeCell ref="K1:K4"/>
    <mergeCell ref="E4:F4"/>
    <mergeCell ref="H1:H4"/>
    <mergeCell ref="Y1:Y4"/>
    <mergeCell ref="M1:O4"/>
    <mergeCell ref="P1:P4"/>
    <mergeCell ref="Q1:Q4"/>
    <mergeCell ref="R1:R4"/>
    <mergeCell ref="X3:X4"/>
    <mergeCell ref="U2:V2"/>
    <mergeCell ref="W2:X2"/>
    <mergeCell ref="S1:S4"/>
    <mergeCell ref="T1:T4"/>
    <mergeCell ref="U3:U4"/>
    <mergeCell ref="V3:V4"/>
    <mergeCell ref="W3:W4"/>
    <mergeCell ref="U1:X1"/>
  </mergeCells>
  <dataValidations count="1">
    <dataValidation type="list" allowBlank="1" showInputMessage="1" showErrorMessage="1" sqref="G5:H6">
      <formula1>kat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70" fitToHeight="0" orientation="landscape" r:id="rId1"/>
  <headerFooter>
    <oddFooter>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80" zoomScaleNormal="80" workbookViewId="0">
      <pane xSplit="7" ySplit="4" topLeftCell="H23" activePane="bottomRight" state="frozen"/>
      <selection pane="topRight" activeCell="H1" sqref="H1"/>
      <selection pane="bottomLeft" activeCell="A5" sqref="A5"/>
      <selection pane="bottomRight" activeCell="C45" sqref="C45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17.28515625" style="64" customWidth="1"/>
    <col min="5" max="5" width="7.140625" style="250" bestFit="1" customWidth="1"/>
    <col min="6" max="6" width="4.140625" customWidth="1"/>
    <col min="7" max="7" width="10.85546875" customWidth="1"/>
    <col min="8" max="8" width="15.28515625" customWidth="1"/>
    <col min="9" max="9" width="9.85546875" customWidth="1"/>
    <col min="10" max="10" width="10.42578125" customWidth="1"/>
    <col min="11" max="11" width="22.85546875" customWidth="1"/>
    <col min="12" max="12" width="10" customWidth="1"/>
    <col min="13" max="17" width="9.140625" customWidth="1"/>
    <col min="18" max="18" width="8.7109375" customWidth="1"/>
    <col min="19" max="19" width="7.28515625" customWidth="1"/>
    <col min="20" max="20" width="7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28" ht="15" customHeight="1" x14ac:dyDescent="0.25">
      <c r="A1" s="642" t="s">
        <v>1776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96" t="s">
        <v>116</v>
      </c>
      <c r="N1" s="696"/>
      <c r="O1" s="696"/>
      <c r="P1" s="653" t="s">
        <v>117</v>
      </c>
      <c r="Q1" s="653" t="s">
        <v>118</v>
      </c>
      <c r="R1" s="653" t="s">
        <v>1563</v>
      </c>
      <c r="S1" s="653" t="s">
        <v>120</v>
      </c>
      <c r="T1" s="653" t="s">
        <v>121</v>
      </c>
      <c r="U1" s="653" t="s">
        <v>376</v>
      </c>
      <c r="V1" s="653"/>
      <c r="W1" s="653"/>
      <c r="X1" s="653"/>
      <c r="Y1" s="693" t="s">
        <v>1513</v>
      </c>
    </row>
    <row r="2" spans="1:28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97"/>
      <c r="N2" s="697"/>
      <c r="O2" s="697"/>
      <c r="P2" s="654"/>
      <c r="Q2" s="654"/>
      <c r="R2" s="654"/>
      <c r="S2" s="654"/>
      <c r="T2" s="654"/>
      <c r="U2" s="654" t="s">
        <v>127</v>
      </c>
      <c r="V2" s="654"/>
      <c r="W2" s="654" t="s">
        <v>128</v>
      </c>
      <c r="X2" s="654"/>
      <c r="Y2" s="694"/>
    </row>
    <row r="3" spans="1:28" s="163" customFormat="1" ht="19.5" customHeight="1" x14ac:dyDescent="0.25">
      <c r="A3" s="644"/>
      <c r="B3" s="645"/>
      <c r="C3" s="645"/>
      <c r="D3" s="645"/>
      <c r="E3" s="645"/>
      <c r="F3" s="645"/>
      <c r="G3" s="619"/>
      <c r="H3" s="640"/>
      <c r="I3" s="619"/>
      <c r="J3" s="619"/>
      <c r="K3" s="619"/>
      <c r="L3" s="619"/>
      <c r="M3" s="697"/>
      <c r="N3" s="697"/>
      <c r="O3" s="697"/>
      <c r="P3" s="654"/>
      <c r="Q3" s="654"/>
      <c r="R3" s="654"/>
      <c r="S3" s="654"/>
      <c r="T3" s="654"/>
      <c r="U3" s="654" t="s">
        <v>134</v>
      </c>
      <c r="V3" s="654" t="s">
        <v>135</v>
      </c>
      <c r="W3" s="654" t="s">
        <v>136</v>
      </c>
      <c r="X3" s="654" t="s">
        <v>137</v>
      </c>
      <c r="Y3" s="694"/>
    </row>
    <row r="4" spans="1:28" ht="15.75" thickBot="1" x14ac:dyDescent="0.3">
      <c r="A4" s="211" t="s">
        <v>129</v>
      </c>
      <c r="B4" s="213" t="s">
        <v>130</v>
      </c>
      <c r="C4" s="213" t="s">
        <v>131</v>
      </c>
      <c r="D4" s="214" t="s">
        <v>132</v>
      </c>
      <c r="E4" s="663" t="s">
        <v>133</v>
      </c>
      <c r="F4" s="663"/>
      <c r="G4" s="620"/>
      <c r="H4" s="641"/>
      <c r="I4" s="620"/>
      <c r="J4" s="620"/>
      <c r="K4" s="620"/>
      <c r="L4" s="620"/>
      <c r="M4" s="698"/>
      <c r="N4" s="698"/>
      <c r="O4" s="698"/>
      <c r="P4" s="655"/>
      <c r="Q4" s="655"/>
      <c r="R4" s="655"/>
      <c r="S4" s="655"/>
      <c r="T4" s="655"/>
      <c r="U4" s="655"/>
      <c r="V4" s="655"/>
      <c r="W4" s="655"/>
      <c r="X4" s="655"/>
      <c r="Y4" s="695"/>
    </row>
    <row r="5" spans="1:28" s="15" customFormat="1" ht="30" x14ac:dyDescent="0.25">
      <c r="A5" s="44" t="s">
        <v>0</v>
      </c>
      <c r="B5" s="44" t="s">
        <v>278</v>
      </c>
      <c r="C5" s="44" t="s">
        <v>1751</v>
      </c>
      <c r="D5" s="45" t="s">
        <v>690</v>
      </c>
      <c r="E5" s="46">
        <v>12.5</v>
      </c>
      <c r="F5" s="44" t="s">
        <v>4</v>
      </c>
      <c r="G5" s="21" t="s">
        <v>77</v>
      </c>
      <c r="H5" s="180" t="s">
        <v>738</v>
      </c>
      <c r="I5" s="22"/>
      <c r="J5" s="22"/>
      <c r="K5" s="21" t="s">
        <v>1449</v>
      </c>
      <c r="L5" s="22" t="s">
        <v>6</v>
      </c>
      <c r="M5" s="22"/>
      <c r="N5" s="10"/>
      <c r="O5" s="10"/>
      <c r="P5" s="11">
        <f t="shared" ref="P5:P8" si="0">N5*O5*0.000001</f>
        <v>0</v>
      </c>
      <c r="Q5" s="24"/>
      <c r="R5" s="24"/>
      <c r="S5" s="25">
        <v>8.32</v>
      </c>
      <c r="T5" s="24">
        <v>2.7</v>
      </c>
      <c r="U5" s="25">
        <f>S5*T5-X5</f>
        <v>0</v>
      </c>
      <c r="V5" s="24"/>
      <c r="W5" s="24"/>
      <c r="X5" s="25">
        <f>S5*2.7-P5-Q5</f>
        <v>22.464000000000002</v>
      </c>
      <c r="Y5" s="24"/>
      <c r="Z5"/>
      <c r="AA5"/>
      <c r="AB5"/>
    </row>
    <row r="6" spans="1:28" s="15" customFormat="1" ht="30" x14ac:dyDescent="0.25">
      <c r="A6" s="1" t="s">
        <v>0</v>
      </c>
      <c r="B6" s="1" t="s">
        <v>278</v>
      </c>
      <c r="C6" s="1" t="s">
        <v>1752</v>
      </c>
      <c r="D6" s="28" t="s">
        <v>263</v>
      </c>
      <c r="E6" s="29">
        <v>35.299999999999997</v>
      </c>
      <c r="F6" s="1" t="s">
        <v>4</v>
      </c>
      <c r="G6" s="5" t="s">
        <v>77</v>
      </c>
      <c r="H6" s="181"/>
      <c r="I6" s="6"/>
      <c r="J6" s="6"/>
      <c r="K6" s="21" t="s">
        <v>1449</v>
      </c>
      <c r="L6" s="6" t="s">
        <v>10</v>
      </c>
      <c r="M6" s="6" t="s">
        <v>7</v>
      </c>
      <c r="N6" s="31">
        <v>1500</v>
      </c>
      <c r="O6" s="31">
        <v>2125</v>
      </c>
      <c r="P6" s="16">
        <f t="shared" si="0"/>
        <v>3.1875</v>
      </c>
      <c r="Q6" s="12">
        <v>17.579999999999998</v>
      </c>
      <c r="R6" s="12"/>
      <c r="S6" s="13">
        <v>23.91</v>
      </c>
      <c r="T6" s="12">
        <v>3</v>
      </c>
      <c r="U6" s="47">
        <f>S6*0.4</f>
        <v>9.5640000000000001</v>
      </c>
      <c r="V6" s="152"/>
      <c r="W6" s="152">
        <f>S6*T6-U6-Y6-P6-Q6</f>
        <v>41.398500000000006</v>
      </c>
      <c r="X6" s="47"/>
      <c r="Y6" s="12"/>
      <c r="Z6"/>
      <c r="AA6"/>
      <c r="AB6"/>
    </row>
    <row r="7" spans="1:28" s="15" customFormat="1" ht="30" x14ac:dyDescent="0.25">
      <c r="A7" s="1" t="s">
        <v>0</v>
      </c>
      <c r="B7" s="1" t="s">
        <v>278</v>
      </c>
      <c r="C7" s="1" t="s">
        <v>1753</v>
      </c>
      <c r="D7" s="28" t="s">
        <v>263</v>
      </c>
      <c r="E7" s="29">
        <v>35.299999999999997</v>
      </c>
      <c r="F7" s="1" t="s">
        <v>4</v>
      </c>
      <c r="G7" s="5" t="s">
        <v>77</v>
      </c>
      <c r="H7" s="181"/>
      <c r="I7" s="6"/>
      <c r="J7" s="6"/>
      <c r="K7" s="21" t="s">
        <v>1449</v>
      </c>
      <c r="L7" s="6" t="s">
        <v>10</v>
      </c>
      <c r="M7" s="6" t="s">
        <v>7</v>
      </c>
      <c r="N7" s="31">
        <v>1500</v>
      </c>
      <c r="O7" s="31">
        <v>2125</v>
      </c>
      <c r="P7" s="16">
        <f t="shared" si="0"/>
        <v>3.1875</v>
      </c>
      <c r="Q7" s="12">
        <v>17.579999999999998</v>
      </c>
      <c r="R7" s="12"/>
      <c r="S7" s="13">
        <v>23.91</v>
      </c>
      <c r="T7" s="12">
        <v>3</v>
      </c>
      <c r="U7" s="47">
        <f>S7*0.4</f>
        <v>9.5640000000000001</v>
      </c>
      <c r="V7" s="152"/>
      <c r="W7" s="152">
        <f>S7*T7-U7-Y7-P7-Q7</f>
        <v>41.398500000000006</v>
      </c>
      <c r="X7" s="47"/>
      <c r="Y7" s="12"/>
      <c r="Z7"/>
      <c r="AA7"/>
      <c r="AB7"/>
    </row>
    <row r="8" spans="1:28" s="15" customFormat="1" ht="30" x14ac:dyDescent="0.25">
      <c r="A8" s="1" t="s">
        <v>0</v>
      </c>
      <c r="B8" s="1" t="s">
        <v>278</v>
      </c>
      <c r="C8" s="1" t="s">
        <v>1754</v>
      </c>
      <c r="D8" s="28" t="s">
        <v>1755</v>
      </c>
      <c r="E8" s="29">
        <v>22.7</v>
      </c>
      <c r="F8" s="1" t="s">
        <v>4</v>
      </c>
      <c r="G8" s="5" t="s">
        <v>77</v>
      </c>
      <c r="H8" s="181" t="s">
        <v>738</v>
      </c>
      <c r="I8" s="6"/>
      <c r="J8" s="6"/>
      <c r="K8" s="21" t="s">
        <v>1449</v>
      </c>
      <c r="L8" s="6" t="s">
        <v>10</v>
      </c>
      <c r="M8" s="6" t="s">
        <v>7</v>
      </c>
      <c r="N8" s="31">
        <v>875</v>
      </c>
      <c r="O8" s="31">
        <v>2125</v>
      </c>
      <c r="P8" s="16">
        <f t="shared" si="0"/>
        <v>1.859375</v>
      </c>
      <c r="Q8" s="12"/>
      <c r="R8" s="12"/>
      <c r="S8" s="13">
        <v>20.260000000000002</v>
      </c>
      <c r="T8" s="12">
        <v>3</v>
      </c>
      <c r="U8" s="16">
        <f t="shared" ref="U8" si="1">S8*T8-P8-Q8-X8-Y8</f>
        <v>58.920625000000001</v>
      </c>
      <c r="V8" s="12"/>
      <c r="W8" s="12"/>
      <c r="X8" s="13"/>
      <c r="Y8" s="12"/>
      <c r="Z8"/>
      <c r="AA8"/>
      <c r="AB8"/>
    </row>
    <row r="9" spans="1:28" s="284" customFormat="1" ht="17.25" x14ac:dyDescent="0.25">
      <c r="B9" s="284" t="s">
        <v>1552</v>
      </c>
      <c r="D9" s="305"/>
      <c r="E9" s="286">
        <f>SUM(E5:E8)</f>
        <v>105.8</v>
      </c>
      <c r="F9" s="280" t="s">
        <v>1560</v>
      </c>
    </row>
    <row r="10" spans="1:28" s="178" customFormat="1" ht="30" x14ac:dyDescent="0.25">
      <c r="A10" s="151" t="s">
        <v>139</v>
      </c>
      <c r="B10" s="1" t="s">
        <v>1</v>
      </c>
      <c r="C10" s="1" t="s">
        <v>1756</v>
      </c>
      <c r="D10" s="28" t="s">
        <v>219</v>
      </c>
      <c r="E10" s="29">
        <v>2.2999999999999998</v>
      </c>
      <c r="F10" s="1" t="s">
        <v>4</v>
      </c>
      <c r="G10" s="6" t="s">
        <v>5</v>
      </c>
      <c r="H10" s="181" t="s">
        <v>738</v>
      </c>
      <c r="I10" s="5"/>
      <c r="J10" s="6" t="s">
        <v>194</v>
      </c>
      <c r="K10" s="5" t="s">
        <v>1449</v>
      </c>
      <c r="L10" s="12" t="s">
        <v>425</v>
      </c>
      <c r="M10" s="12" t="s">
        <v>7</v>
      </c>
      <c r="N10" s="150">
        <v>900</v>
      </c>
      <c r="O10" s="6">
        <v>2100</v>
      </c>
      <c r="P10" s="35">
        <f t="shared" ref="P10:P14" si="2">N10*O10*0.000001</f>
        <v>1.89</v>
      </c>
      <c r="Q10" s="13"/>
      <c r="R10" s="12"/>
      <c r="S10" s="13">
        <v>6.12</v>
      </c>
      <c r="T10" s="12">
        <v>2.6</v>
      </c>
      <c r="U10" s="13"/>
      <c r="V10" s="12"/>
      <c r="W10" s="12"/>
      <c r="X10" s="47">
        <f t="shared" ref="X10" si="3">S10*T10-P10-Q10-Y10</f>
        <v>14.022</v>
      </c>
      <c r="Y10" s="13"/>
    </row>
    <row r="11" spans="1:28" ht="30" x14ac:dyDescent="0.25">
      <c r="A11" s="151" t="s">
        <v>139</v>
      </c>
      <c r="B11" s="1" t="s">
        <v>1</v>
      </c>
      <c r="C11" s="1" t="s">
        <v>1757</v>
      </c>
      <c r="D11" s="28" t="s">
        <v>1758</v>
      </c>
      <c r="E11" s="29">
        <v>31</v>
      </c>
      <c r="F11" s="1" t="s">
        <v>4</v>
      </c>
      <c r="G11" s="6" t="s">
        <v>77</v>
      </c>
      <c r="H11" s="181" t="s">
        <v>738</v>
      </c>
      <c r="I11" s="5"/>
      <c r="J11" s="6" t="s">
        <v>194</v>
      </c>
      <c r="K11" s="21" t="s">
        <v>1449</v>
      </c>
      <c r="L11" s="12" t="s">
        <v>6</v>
      </c>
      <c r="M11" s="12"/>
      <c r="N11" s="150"/>
      <c r="O11" s="6"/>
      <c r="P11" s="35">
        <f t="shared" si="2"/>
        <v>0</v>
      </c>
      <c r="Q11" s="13">
        <v>6</v>
      </c>
      <c r="R11" s="12">
        <v>2.25</v>
      </c>
      <c r="S11" s="13">
        <v>16.98</v>
      </c>
      <c r="T11" s="12">
        <v>3.8</v>
      </c>
      <c r="U11" s="16">
        <f>S11*(T11-2.7)</f>
        <v>18.677999999999994</v>
      </c>
      <c r="V11" s="12"/>
      <c r="W11" s="12"/>
      <c r="X11" s="13">
        <f>S11*2.7-P11-Y11</f>
        <v>27.086000000000002</v>
      </c>
      <c r="Y11" s="13">
        <v>18.760000000000002</v>
      </c>
    </row>
    <row r="12" spans="1:28" ht="30" x14ac:dyDescent="0.25">
      <c r="A12" s="151" t="s">
        <v>139</v>
      </c>
      <c r="B12" s="1" t="s">
        <v>1</v>
      </c>
      <c r="C12" s="1" t="s">
        <v>1759</v>
      </c>
      <c r="D12" s="28" t="s">
        <v>1758</v>
      </c>
      <c r="E12" s="29">
        <v>31.5</v>
      </c>
      <c r="F12" s="1" t="s">
        <v>4</v>
      </c>
      <c r="G12" s="6" t="s">
        <v>77</v>
      </c>
      <c r="H12" s="181" t="s">
        <v>738</v>
      </c>
      <c r="I12" s="5"/>
      <c r="J12" s="6" t="s">
        <v>194</v>
      </c>
      <c r="K12" s="21" t="s">
        <v>1449</v>
      </c>
      <c r="L12" s="12" t="s">
        <v>6</v>
      </c>
      <c r="M12" s="12"/>
      <c r="N12" s="150"/>
      <c r="O12" s="6"/>
      <c r="P12" s="35">
        <f t="shared" si="2"/>
        <v>0</v>
      </c>
      <c r="Q12" s="13">
        <v>6</v>
      </c>
      <c r="R12" s="12">
        <v>2.25</v>
      </c>
      <c r="S12" s="13">
        <v>17.13</v>
      </c>
      <c r="T12" s="12">
        <v>3.8</v>
      </c>
      <c r="U12" s="16">
        <f>S12*(T12-2.7)</f>
        <v>18.842999999999993</v>
      </c>
      <c r="V12" s="12"/>
      <c r="W12" s="12"/>
      <c r="X12" s="13">
        <f>S12*2.7-P12-Y12</f>
        <v>27.490999999999996</v>
      </c>
      <c r="Y12" s="13">
        <v>18.760000000000002</v>
      </c>
    </row>
    <row r="13" spans="1:28" ht="30" x14ac:dyDescent="0.25">
      <c r="A13" s="151" t="s">
        <v>139</v>
      </c>
      <c r="B13" s="1" t="s">
        <v>1</v>
      </c>
      <c r="C13" s="1" t="s">
        <v>1760</v>
      </c>
      <c r="D13" s="28" t="s">
        <v>1761</v>
      </c>
      <c r="E13" s="29">
        <v>8.6999999999999993</v>
      </c>
      <c r="F13" s="1" t="s">
        <v>4</v>
      </c>
      <c r="G13" s="6" t="s">
        <v>77</v>
      </c>
      <c r="H13" s="181" t="s">
        <v>738</v>
      </c>
      <c r="I13" s="5"/>
      <c r="J13" s="6" t="s">
        <v>194</v>
      </c>
      <c r="K13" s="21" t="s">
        <v>1449</v>
      </c>
      <c r="L13" s="12" t="s">
        <v>10</v>
      </c>
      <c r="M13" s="12" t="s">
        <v>7</v>
      </c>
      <c r="N13" s="150">
        <v>1800</v>
      </c>
      <c r="O13" s="6">
        <v>2100</v>
      </c>
      <c r="P13" s="35">
        <f t="shared" si="2"/>
        <v>3.78</v>
      </c>
      <c r="Q13" s="13">
        <v>4.05</v>
      </c>
      <c r="R13" s="12">
        <v>0.9</v>
      </c>
      <c r="S13" s="13">
        <v>11.79</v>
      </c>
      <c r="T13" s="12">
        <v>2.6</v>
      </c>
      <c r="U13" s="16">
        <f>S13*T13-P13-Q13-X13-Y13</f>
        <v>21.023999999999997</v>
      </c>
      <c r="V13" s="12"/>
      <c r="W13" s="12"/>
      <c r="X13" s="13"/>
      <c r="Y13" s="13">
        <v>1.8</v>
      </c>
    </row>
    <row r="14" spans="1:28" ht="30" x14ac:dyDescent="0.25">
      <c r="A14" s="151" t="s">
        <v>139</v>
      </c>
      <c r="B14" s="1" t="s">
        <v>1</v>
      </c>
      <c r="C14" s="1" t="s">
        <v>1762</v>
      </c>
      <c r="D14" s="28" t="s">
        <v>1763</v>
      </c>
      <c r="E14" s="29">
        <v>3.5</v>
      </c>
      <c r="F14" s="1" t="s">
        <v>4</v>
      </c>
      <c r="G14" s="6" t="s">
        <v>77</v>
      </c>
      <c r="H14" s="181" t="s">
        <v>738</v>
      </c>
      <c r="I14" s="5"/>
      <c r="J14" s="6" t="s">
        <v>194</v>
      </c>
      <c r="K14" s="21" t="s">
        <v>1449</v>
      </c>
      <c r="L14" s="12" t="s">
        <v>425</v>
      </c>
      <c r="M14" s="12" t="s">
        <v>7</v>
      </c>
      <c r="N14" s="150">
        <v>900</v>
      </c>
      <c r="O14" s="6">
        <v>2100</v>
      </c>
      <c r="P14" s="35">
        <f t="shared" si="2"/>
        <v>1.89</v>
      </c>
      <c r="Q14" s="13"/>
      <c r="R14" s="12"/>
      <c r="S14" s="13">
        <v>7.49</v>
      </c>
      <c r="T14" s="12">
        <v>2.6</v>
      </c>
      <c r="U14" s="16">
        <f>S14*T14-P14-Q14-X14-Y14</f>
        <v>16.143999999999998</v>
      </c>
      <c r="V14" s="12"/>
      <c r="W14" s="12"/>
      <c r="X14" s="13"/>
      <c r="Y14" s="13">
        <v>1.44</v>
      </c>
    </row>
    <row r="15" spans="1:28" s="284" customFormat="1" ht="17.25" x14ac:dyDescent="0.25">
      <c r="B15" s="284" t="s">
        <v>1553</v>
      </c>
      <c r="D15" s="305"/>
      <c r="E15" s="286">
        <f>SUM(E10:E14)</f>
        <v>77</v>
      </c>
      <c r="F15" s="280" t="s">
        <v>1560</v>
      </c>
    </row>
    <row r="16" spans="1:28" s="149" customFormat="1" ht="30" x14ac:dyDescent="0.25">
      <c r="A16" s="151" t="s">
        <v>160</v>
      </c>
      <c r="B16" s="151" t="s">
        <v>278</v>
      </c>
      <c r="C16" s="151" t="s">
        <v>1764</v>
      </c>
      <c r="D16" s="86" t="s">
        <v>263</v>
      </c>
      <c r="E16" s="248">
        <v>36.4</v>
      </c>
      <c r="F16" s="151" t="s">
        <v>4</v>
      </c>
      <c r="G16" s="6" t="s">
        <v>77</v>
      </c>
      <c r="H16" s="181"/>
      <c r="I16" s="6"/>
      <c r="J16" s="6" t="s">
        <v>194</v>
      </c>
      <c r="K16" s="5" t="s">
        <v>1449</v>
      </c>
      <c r="L16" s="12" t="s">
        <v>10</v>
      </c>
      <c r="M16" s="6" t="s">
        <v>7</v>
      </c>
      <c r="N16" s="150">
        <v>1500</v>
      </c>
      <c r="O16" s="6">
        <v>2125</v>
      </c>
      <c r="P16" s="35">
        <f t="shared" ref="P16:P19" si="4">N16*O16*0.000001</f>
        <v>3.1875</v>
      </c>
      <c r="Q16" s="12">
        <v>6.9</v>
      </c>
      <c r="R16" s="12">
        <v>1.1200000000000001</v>
      </c>
      <c r="S16" s="13">
        <v>24.31</v>
      </c>
      <c r="T16" s="12">
        <v>3</v>
      </c>
      <c r="U16" s="152">
        <f>S16*0.4</f>
        <v>9.7240000000000002</v>
      </c>
      <c r="V16" s="152"/>
      <c r="W16" s="152">
        <f>S16*T16-U16-Y16-P16-Q16</f>
        <v>53.11849999999999</v>
      </c>
      <c r="X16" s="152"/>
      <c r="Y16" s="12"/>
      <c r="Z16"/>
      <c r="AA16"/>
      <c r="AB16"/>
    </row>
    <row r="17" spans="1:28" s="149" customFormat="1" ht="30" x14ac:dyDescent="0.25">
      <c r="A17" s="151" t="s">
        <v>160</v>
      </c>
      <c r="B17" s="151" t="s">
        <v>278</v>
      </c>
      <c r="C17" s="151" t="s">
        <v>1765</v>
      </c>
      <c r="D17" s="86" t="s">
        <v>263</v>
      </c>
      <c r="E17" s="248">
        <v>42.5</v>
      </c>
      <c r="F17" s="151" t="s">
        <v>4</v>
      </c>
      <c r="G17" s="6" t="s">
        <v>77</v>
      </c>
      <c r="H17" s="181"/>
      <c r="I17" s="6"/>
      <c r="J17" s="6" t="s">
        <v>194</v>
      </c>
      <c r="K17" s="21" t="s">
        <v>1449</v>
      </c>
      <c r="L17" s="12" t="s">
        <v>10</v>
      </c>
      <c r="M17" s="6" t="s">
        <v>7</v>
      </c>
      <c r="N17" s="150">
        <v>1500</v>
      </c>
      <c r="O17" s="6">
        <v>2125</v>
      </c>
      <c r="P17" s="35">
        <f t="shared" si="4"/>
        <v>3.1875</v>
      </c>
      <c r="Q17" s="12">
        <v>6.9</v>
      </c>
      <c r="R17" s="12">
        <v>1.1200000000000001</v>
      </c>
      <c r="S17" s="13">
        <v>27.69</v>
      </c>
      <c r="T17" s="12">
        <v>3</v>
      </c>
      <c r="U17" s="152">
        <f>S17*0.4</f>
        <v>11.076000000000001</v>
      </c>
      <c r="V17" s="152"/>
      <c r="W17" s="152">
        <f>S17*T17-U17-Y17-P17-Q17</f>
        <v>61.906500000000001</v>
      </c>
      <c r="X17" s="152"/>
      <c r="Y17" s="12"/>
      <c r="Z17"/>
      <c r="AA17"/>
      <c r="AB17"/>
    </row>
    <row r="18" spans="1:28" s="149" customFormat="1" ht="30" x14ac:dyDescent="0.25">
      <c r="A18" s="151" t="s">
        <v>160</v>
      </c>
      <c r="B18" s="151" t="s">
        <v>278</v>
      </c>
      <c r="C18" s="151" t="s">
        <v>1766</v>
      </c>
      <c r="D18" s="86" t="s">
        <v>263</v>
      </c>
      <c r="E18" s="248">
        <v>36.4</v>
      </c>
      <c r="F18" s="151" t="s">
        <v>4</v>
      </c>
      <c r="G18" s="6" t="s">
        <v>77</v>
      </c>
      <c r="H18" s="181"/>
      <c r="I18" s="6"/>
      <c r="J18" s="6" t="s">
        <v>194</v>
      </c>
      <c r="K18" s="21" t="s">
        <v>1449</v>
      </c>
      <c r="L18" s="12" t="s">
        <v>10</v>
      </c>
      <c r="M18" s="6" t="s">
        <v>7</v>
      </c>
      <c r="N18" s="150">
        <v>1500</v>
      </c>
      <c r="O18" s="6">
        <v>2125</v>
      </c>
      <c r="P18" s="35">
        <f t="shared" si="4"/>
        <v>3.1875</v>
      </c>
      <c r="Q18" s="12">
        <v>6.9</v>
      </c>
      <c r="R18" s="12">
        <v>1.1200000000000001</v>
      </c>
      <c r="S18" s="13">
        <v>24.26</v>
      </c>
      <c r="T18" s="12">
        <v>3</v>
      </c>
      <c r="U18" s="152">
        <f>S18*0.4</f>
        <v>9.7040000000000006</v>
      </c>
      <c r="V18" s="152"/>
      <c r="W18" s="152">
        <f>S18*T18-U18-Y18-P18-Q18</f>
        <v>52.988500000000002</v>
      </c>
      <c r="X18" s="152"/>
      <c r="Y18" s="12"/>
      <c r="Z18"/>
      <c r="AA18"/>
      <c r="AB18"/>
    </row>
    <row r="19" spans="1:28" s="149" customFormat="1" ht="30" x14ac:dyDescent="0.25">
      <c r="A19" s="151" t="s">
        <v>160</v>
      </c>
      <c r="B19" s="151" t="s">
        <v>278</v>
      </c>
      <c r="C19" s="151" t="s">
        <v>1767</v>
      </c>
      <c r="D19" s="86" t="s">
        <v>263</v>
      </c>
      <c r="E19" s="248">
        <v>42.4</v>
      </c>
      <c r="F19" s="151" t="s">
        <v>4</v>
      </c>
      <c r="G19" s="6" t="s">
        <v>77</v>
      </c>
      <c r="H19" s="181"/>
      <c r="I19" s="6"/>
      <c r="J19" s="6" t="s">
        <v>194</v>
      </c>
      <c r="K19" s="21" t="s">
        <v>1449</v>
      </c>
      <c r="L19" s="12" t="s">
        <v>10</v>
      </c>
      <c r="M19" s="6" t="s">
        <v>7</v>
      </c>
      <c r="N19" s="150">
        <v>1500</v>
      </c>
      <c r="O19" s="6">
        <v>2125</v>
      </c>
      <c r="P19" s="35">
        <f t="shared" si="4"/>
        <v>3.1875</v>
      </c>
      <c r="Q19" s="12">
        <v>12.07</v>
      </c>
      <c r="R19" s="12">
        <v>1.95</v>
      </c>
      <c r="S19" s="13">
        <v>26.76</v>
      </c>
      <c r="T19" s="12">
        <v>3</v>
      </c>
      <c r="U19" s="152">
        <f>S19*0.4</f>
        <v>10.704000000000001</v>
      </c>
      <c r="V19" s="152"/>
      <c r="W19" s="152">
        <f>S19*T19-U19-Y19-P19-Q19</f>
        <v>54.318499999999993</v>
      </c>
      <c r="X19" s="152"/>
      <c r="Y19" s="12"/>
      <c r="Z19"/>
      <c r="AA19"/>
      <c r="AB19"/>
    </row>
    <row r="20" spans="1:28" ht="17.25" x14ac:dyDescent="0.25">
      <c r="B20" s="284" t="s">
        <v>1559</v>
      </c>
      <c r="E20" s="286">
        <f>SUM(E16:E19)</f>
        <v>157.70000000000002</v>
      </c>
      <c r="F20" s="280" t="s">
        <v>1560</v>
      </c>
    </row>
    <row r="21" spans="1:28" ht="30" x14ac:dyDescent="0.25">
      <c r="A21" s="151" t="s">
        <v>230</v>
      </c>
      <c r="B21" s="151" t="s">
        <v>278</v>
      </c>
      <c r="C21" s="151" t="s">
        <v>1768</v>
      </c>
      <c r="D21" s="86" t="s">
        <v>263</v>
      </c>
      <c r="E21" s="248">
        <v>36.4</v>
      </c>
      <c r="F21" s="151" t="s">
        <v>4</v>
      </c>
      <c r="G21" s="6" t="s">
        <v>77</v>
      </c>
      <c r="H21" s="181"/>
      <c r="I21" s="6"/>
      <c r="J21" s="6" t="s">
        <v>194</v>
      </c>
      <c r="K21" s="5" t="s">
        <v>1449</v>
      </c>
      <c r="L21" s="12" t="s">
        <v>10</v>
      </c>
      <c r="M21" s="6" t="s">
        <v>7</v>
      </c>
      <c r="N21" s="6">
        <v>1500</v>
      </c>
      <c r="O21" s="6">
        <v>2125</v>
      </c>
      <c r="P21" s="35">
        <f t="shared" ref="P21:P24" si="5">N21*O21*0.000001</f>
        <v>3.1875</v>
      </c>
      <c r="Q21" s="12">
        <v>6.9</v>
      </c>
      <c r="R21" s="12">
        <v>1.1200000000000001</v>
      </c>
      <c r="S21" s="12">
        <v>24.31</v>
      </c>
      <c r="T21" s="12">
        <v>3</v>
      </c>
      <c r="U21" s="152">
        <f>S21*0.4</f>
        <v>9.7240000000000002</v>
      </c>
      <c r="V21" s="152"/>
      <c r="W21" s="152">
        <f>S21*T21-U21-Y21-P21-Q21</f>
        <v>53.11849999999999</v>
      </c>
      <c r="X21" s="152"/>
      <c r="Y21" s="12"/>
    </row>
    <row r="22" spans="1:28" ht="30" x14ac:dyDescent="0.25">
      <c r="A22" s="151" t="s">
        <v>230</v>
      </c>
      <c r="B22" s="151" t="s">
        <v>278</v>
      </c>
      <c r="C22" s="151" t="s">
        <v>1769</v>
      </c>
      <c r="D22" s="86" t="s">
        <v>263</v>
      </c>
      <c r="E22" s="248">
        <v>42.5</v>
      </c>
      <c r="F22" s="151" t="s">
        <v>4</v>
      </c>
      <c r="G22" s="6" t="s">
        <v>77</v>
      </c>
      <c r="H22" s="181"/>
      <c r="I22" s="6"/>
      <c r="J22" s="6" t="s">
        <v>194</v>
      </c>
      <c r="K22" s="21" t="s">
        <v>1449</v>
      </c>
      <c r="L22" s="12" t="s">
        <v>10</v>
      </c>
      <c r="M22" s="6" t="s">
        <v>7</v>
      </c>
      <c r="N22" s="6">
        <v>3000</v>
      </c>
      <c r="O22" s="6">
        <v>2125</v>
      </c>
      <c r="P22" s="35">
        <f t="shared" si="5"/>
        <v>6.375</v>
      </c>
      <c r="Q22" s="12">
        <v>6.9</v>
      </c>
      <c r="R22" s="12">
        <v>1.1200000000000001</v>
      </c>
      <c r="S22" s="12">
        <v>27.69</v>
      </c>
      <c r="T22" s="12">
        <v>3</v>
      </c>
      <c r="U22" s="152">
        <f>S22*0.4</f>
        <v>11.076000000000001</v>
      </c>
      <c r="V22" s="152"/>
      <c r="W22" s="152">
        <f>S22*T22-U22-Y22-P22-Q22</f>
        <v>58.719000000000001</v>
      </c>
      <c r="X22" s="152"/>
      <c r="Y22" s="12"/>
    </row>
    <row r="23" spans="1:28" ht="30" x14ac:dyDescent="0.25">
      <c r="A23" s="151" t="s">
        <v>230</v>
      </c>
      <c r="B23" s="151" t="s">
        <v>278</v>
      </c>
      <c r="C23" s="151" t="s">
        <v>1770</v>
      </c>
      <c r="D23" s="86" t="s">
        <v>263</v>
      </c>
      <c r="E23" s="248">
        <v>36.4</v>
      </c>
      <c r="F23" s="151" t="s">
        <v>4</v>
      </c>
      <c r="G23" s="6" t="s">
        <v>77</v>
      </c>
      <c r="H23" s="181"/>
      <c r="I23" s="6"/>
      <c r="J23" s="6" t="s">
        <v>194</v>
      </c>
      <c r="K23" s="21" t="s">
        <v>1449</v>
      </c>
      <c r="L23" s="12" t="s">
        <v>6</v>
      </c>
      <c r="M23" s="6" t="s">
        <v>7</v>
      </c>
      <c r="N23" s="6">
        <v>1500</v>
      </c>
      <c r="O23" s="6">
        <v>2125</v>
      </c>
      <c r="P23" s="35">
        <f t="shared" si="5"/>
        <v>3.1875</v>
      </c>
      <c r="Q23" s="12">
        <v>6.9</v>
      </c>
      <c r="R23" s="12">
        <v>1.1200000000000001</v>
      </c>
      <c r="S23" s="12">
        <v>24.26</v>
      </c>
      <c r="T23" s="12">
        <v>3</v>
      </c>
      <c r="U23" s="152">
        <f>S23*0.4</f>
        <v>9.7040000000000006</v>
      </c>
      <c r="V23" s="152"/>
      <c r="W23" s="152">
        <f>S23*T23-U23-Y23-P23-Q23</f>
        <v>52.988500000000002</v>
      </c>
      <c r="X23" s="152"/>
      <c r="Y23" s="12"/>
    </row>
    <row r="24" spans="1:28" ht="30" x14ac:dyDescent="0.25">
      <c r="A24" s="151" t="s">
        <v>230</v>
      </c>
      <c r="B24" s="151" t="s">
        <v>278</v>
      </c>
      <c r="C24" s="151" t="s">
        <v>1771</v>
      </c>
      <c r="D24" s="86" t="s">
        <v>263</v>
      </c>
      <c r="E24" s="248">
        <v>42.4</v>
      </c>
      <c r="F24" s="151" t="s">
        <v>4</v>
      </c>
      <c r="G24" s="6" t="s">
        <v>77</v>
      </c>
      <c r="H24" s="181"/>
      <c r="I24" s="6"/>
      <c r="J24" s="6" t="s">
        <v>194</v>
      </c>
      <c r="K24" s="21" t="s">
        <v>1449</v>
      </c>
      <c r="L24" s="12" t="s">
        <v>10</v>
      </c>
      <c r="M24" s="6" t="s">
        <v>7</v>
      </c>
      <c r="N24" s="6">
        <v>1500</v>
      </c>
      <c r="O24" s="6">
        <v>2125</v>
      </c>
      <c r="P24" s="35">
        <f t="shared" si="5"/>
        <v>3.1875</v>
      </c>
      <c r="Q24" s="12">
        <v>12.07</v>
      </c>
      <c r="R24" s="12">
        <v>1.95</v>
      </c>
      <c r="S24" s="12">
        <v>26.76</v>
      </c>
      <c r="T24" s="12">
        <v>3</v>
      </c>
      <c r="U24" s="152">
        <f>S24*0.4</f>
        <v>10.704000000000001</v>
      </c>
      <c r="V24" s="152"/>
      <c r="W24" s="152">
        <f>S24*T24-U24-Y24-P24-Q24</f>
        <v>54.318499999999993</v>
      </c>
      <c r="X24" s="12"/>
      <c r="Y24" s="12"/>
    </row>
    <row r="25" spans="1:28" ht="17.25" x14ac:dyDescent="0.25">
      <c r="B25" s="284" t="s">
        <v>1558</v>
      </c>
      <c r="E25" s="286">
        <f>SUM(E21:E24)</f>
        <v>157.70000000000002</v>
      </c>
      <c r="F25" s="280" t="s">
        <v>1560</v>
      </c>
    </row>
    <row r="26" spans="1:28" ht="30" x14ac:dyDescent="0.25">
      <c r="A26" s="151" t="s">
        <v>748</v>
      </c>
      <c r="B26" s="151" t="s">
        <v>278</v>
      </c>
      <c r="C26" s="151" t="s">
        <v>1772</v>
      </c>
      <c r="D26" s="86" t="s">
        <v>263</v>
      </c>
      <c r="E26" s="248">
        <v>23.9</v>
      </c>
      <c r="F26" s="151" t="s">
        <v>4</v>
      </c>
      <c r="G26" s="5" t="s">
        <v>77</v>
      </c>
      <c r="H26" s="181"/>
      <c r="I26" s="5"/>
      <c r="J26" s="5" t="s">
        <v>194</v>
      </c>
      <c r="K26" s="5" t="s">
        <v>1449</v>
      </c>
      <c r="L26" s="12" t="s">
        <v>10</v>
      </c>
      <c r="M26" s="6" t="s">
        <v>7</v>
      </c>
      <c r="N26" s="150">
        <v>2375</v>
      </c>
      <c r="O26" s="6">
        <v>2125</v>
      </c>
      <c r="P26" s="35">
        <f t="shared" ref="P26" si="6">N26*O26*0.000001</f>
        <v>5.046875</v>
      </c>
      <c r="Q26" s="12"/>
      <c r="R26" s="12"/>
      <c r="S26" s="12">
        <v>20.57</v>
      </c>
      <c r="T26" s="12">
        <v>3</v>
      </c>
      <c r="U26" s="152">
        <f>S26*0.4</f>
        <v>8.2279999999999998</v>
      </c>
      <c r="V26" s="152"/>
      <c r="W26" s="152">
        <f>S26*T26-U26-Y26-P26-Q26</f>
        <v>48.435124999999999</v>
      </c>
      <c r="X26" s="152"/>
      <c r="Y26" s="12"/>
    </row>
    <row r="27" spans="1:28" ht="17.25" x14ac:dyDescent="0.25">
      <c r="B27" s="284" t="s">
        <v>1557</v>
      </c>
      <c r="E27" s="286">
        <f>E26</f>
        <v>23.9</v>
      </c>
      <c r="F27" s="280" t="s">
        <v>1560</v>
      </c>
    </row>
    <row r="28" spans="1:28" ht="30" x14ac:dyDescent="0.25">
      <c r="A28" s="151" t="s">
        <v>1539</v>
      </c>
      <c r="B28" s="151" t="s">
        <v>278</v>
      </c>
      <c r="C28" s="151" t="s">
        <v>1773</v>
      </c>
      <c r="D28" s="86" t="s">
        <v>1774</v>
      </c>
      <c r="E28" s="248">
        <v>5.6</v>
      </c>
      <c r="F28" s="151" t="s">
        <v>4</v>
      </c>
      <c r="G28" s="6" t="s">
        <v>77</v>
      </c>
      <c r="H28" s="181" t="s">
        <v>738</v>
      </c>
      <c r="I28" s="6"/>
      <c r="J28" s="6" t="s">
        <v>194</v>
      </c>
      <c r="K28" s="5" t="s">
        <v>1449</v>
      </c>
      <c r="L28" s="179" t="s">
        <v>6</v>
      </c>
      <c r="M28" s="6" t="s">
        <v>7</v>
      </c>
      <c r="N28" s="150">
        <v>2000</v>
      </c>
      <c r="O28" s="150">
        <v>2125</v>
      </c>
      <c r="P28" s="35">
        <f t="shared" ref="P28:P29" si="7">N28*O28*0.000001</f>
        <v>4.25</v>
      </c>
      <c r="Q28" s="12"/>
      <c r="R28" s="12"/>
      <c r="S28" s="12">
        <v>9.6999999999999993</v>
      </c>
      <c r="T28" s="12">
        <v>2.6</v>
      </c>
      <c r="U28" s="12">
        <f>S28*T28-P28</f>
        <v>20.97</v>
      </c>
      <c r="V28" s="12"/>
      <c r="W28" s="12"/>
      <c r="X28" s="12"/>
      <c r="Y28" s="12"/>
    </row>
    <row r="29" spans="1:28" ht="30" x14ac:dyDescent="0.25">
      <c r="A29" s="151" t="s">
        <v>1539</v>
      </c>
      <c r="B29" s="151" t="s">
        <v>278</v>
      </c>
      <c r="C29" s="151" t="s">
        <v>1775</v>
      </c>
      <c r="D29" s="86" t="s">
        <v>220</v>
      </c>
      <c r="E29" s="248">
        <v>2.2999999999999998</v>
      </c>
      <c r="F29" s="151" t="s">
        <v>4</v>
      </c>
      <c r="G29" s="6" t="s">
        <v>77</v>
      </c>
      <c r="H29" s="181" t="s">
        <v>738</v>
      </c>
      <c r="I29" s="6"/>
      <c r="J29" s="6" t="s">
        <v>194</v>
      </c>
      <c r="K29" s="5" t="s">
        <v>1449</v>
      </c>
      <c r="L29" s="179" t="s">
        <v>81</v>
      </c>
      <c r="M29" s="6" t="s">
        <v>7</v>
      </c>
      <c r="N29" s="150">
        <v>875</v>
      </c>
      <c r="O29" s="150">
        <v>2125</v>
      </c>
      <c r="P29" s="35">
        <f t="shared" si="7"/>
        <v>1.859375</v>
      </c>
      <c r="Q29" s="12"/>
      <c r="R29" s="12"/>
      <c r="S29" s="12">
        <v>6.76</v>
      </c>
      <c r="T29" s="12">
        <v>2.6</v>
      </c>
      <c r="U29" s="12"/>
      <c r="V29" s="12"/>
      <c r="W29" s="12"/>
      <c r="X29" s="12">
        <f>S29*T29-P29</f>
        <v>15.716625000000001</v>
      </c>
      <c r="Y29" s="12"/>
    </row>
    <row r="30" spans="1:28" ht="17.25" x14ac:dyDescent="0.25">
      <c r="B30" s="284" t="s">
        <v>1555</v>
      </c>
      <c r="E30" s="286">
        <f>SUM(E28:E29)</f>
        <v>7.8999999999999995</v>
      </c>
      <c r="F30" s="280" t="s">
        <v>1560</v>
      </c>
    </row>
    <row r="31" spans="1:28" ht="17.25" x14ac:dyDescent="0.25">
      <c r="C31" s="280" t="s">
        <v>1550</v>
      </c>
      <c r="E31" s="286">
        <f>E9+E15+E20+E25+E27+E30</f>
        <v>530</v>
      </c>
      <c r="F31" s="280" t="s">
        <v>1560</v>
      </c>
    </row>
    <row r="33" spans="3:8" x14ac:dyDescent="0.25">
      <c r="C33" s="278" t="s">
        <v>1807</v>
      </c>
      <c r="D33" s="342"/>
      <c r="E33" s="358"/>
      <c r="F33" s="65"/>
    </row>
    <row r="34" spans="3:8" ht="17.25" x14ac:dyDescent="0.25">
      <c r="C34" s="65"/>
      <c r="D34" s="358" t="s">
        <v>1808</v>
      </c>
      <c r="E34" s="345">
        <f>E10</f>
        <v>2.2999999999999998</v>
      </c>
      <c r="F34" s="342" t="s">
        <v>1560</v>
      </c>
    </row>
    <row r="35" spans="3:8" ht="17.25" x14ac:dyDescent="0.25">
      <c r="C35" s="65"/>
      <c r="D35" s="358" t="s">
        <v>37</v>
      </c>
      <c r="E35" s="345">
        <v>0</v>
      </c>
      <c r="F35" s="342" t="s">
        <v>1560</v>
      </c>
    </row>
    <row r="36" spans="3:8" ht="17.25" x14ac:dyDescent="0.25">
      <c r="C36" s="65"/>
      <c r="D36" s="358" t="s">
        <v>77</v>
      </c>
      <c r="E36" s="345">
        <f>SUM(E5:E8)+SUM(E11:E14)+SUM(E16:E19)+SUM(E21:E24)+E26+E28+E29</f>
        <v>527.70000000000005</v>
      </c>
      <c r="F36" s="342" t="s">
        <v>1560</v>
      </c>
    </row>
    <row r="37" spans="3:8" ht="17.25" x14ac:dyDescent="0.25">
      <c r="C37" s="65"/>
      <c r="D37" s="358" t="s">
        <v>229</v>
      </c>
      <c r="E37" s="345">
        <v>0</v>
      </c>
      <c r="F37" s="342" t="s">
        <v>1560</v>
      </c>
    </row>
    <row r="38" spans="3:8" ht="17.25" x14ac:dyDescent="0.25">
      <c r="C38" s="65"/>
      <c r="D38" s="359" t="s">
        <v>274</v>
      </c>
      <c r="E38" s="345">
        <f>SUM(E34:E37)</f>
        <v>530</v>
      </c>
      <c r="F38" s="342" t="s">
        <v>1560</v>
      </c>
    </row>
    <row r="40" spans="3:8" x14ac:dyDescent="0.25">
      <c r="C40" s="284" t="s">
        <v>1989</v>
      </c>
    </row>
    <row r="41" spans="3:8" x14ac:dyDescent="0.25">
      <c r="C41" s="508" t="s">
        <v>1968</v>
      </c>
      <c r="D41" s="305"/>
      <c r="E41" s="295"/>
      <c r="F41" s="284"/>
      <c r="H41" s="509" t="s">
        <v>1971</v>
      </c>
    </row>
    <row r="42" spans="3:8" x14ac:dyDescent="0.25">
      <c r="C42" s="508" t="s">
        <v>2008</v>
      </c>
      <c r="D42" s="305"/>
      <c r="E42" s="295"/>
      <c r="F42" s="284"/>
      <c r="H42" s="509" t="s">
        <v>2007</v>
      </c>
    </row>
    <row r="43" spans="3:8" x14ac:dyDescent="0.25">
      <c r="C43" s="284" t="s">
        <v>2084</v>
      </c>
    </row>
    <row r="44" spans="3:8" x14ac:dyDescent="0.25">
      <c r="C44" s="278" t="s">
        <v>2006</v>
      </c>
    </row>
  </sheetData>
  <sheetProtection password="87E5" sheet="1" objects="1" scenarios="1"/>
  <mergeCells count="22">
    <mergeCell ref="P1:P4"/>
    <mergeCell ref="M1:O4"/>
    <mergeCell ref="L1:L4"/>
    <mergeCell ref="K1:K4"/>
    <mergeCell ref="I1:I4"/>
    <mergeCell ref="J1:J4"/>
    <mergeCell ref="U2:V2"/>
    <mergeCell ref="W2:X2"/>
    <mergeCell ref="E4:F4"/>
    <mergeCell ref="Y1:Y4"/>
    <mergeCell ref="X3:X4"/>
    <mergeCell ref="W3:W4"/>
    <mergeCell ref="V3:V4"/>
    <mergeCell ref="U3:U4"/>
    <mergeCell ref="U1:X1"/>
    <mergeCell ref="T1:T4"/>
    <mergeCell ref="S1:S4"/>
    <mergeCell ref="R1:R4"/>
    <mergeCell ref="Q1:Q4"/>
    <mergeCell ref="H1:H4"/>
    <mergeCell ref="G1:G4"/>
    <mergeCell ref="A1:F3"/>
  </mergeCells>
  <dataValidations count="1">
    <dataValidation type="list" allowBlank="1" showInputMessage="1" showErrorMessage="1" sqref="G21:H24 G16:H19 G5:H8 H10:H14 G28:H29 G26:H26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72" fitToHeight="0" orientation="landscape" r:id="rId1"/>
  <headerFooter>
    <oddFooter>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8"/>
  <sheetViews>
    <sheetView zoomScale="90" zoomScaleNormal="90" workbookViewId="0">
      <pane ySplit="1" topLeftCell="A346" activePane="bottomLeft" state="frozen"/>
      <selection pane="bottomLeft" activeCell="M372" sqref="M372"/>
    </sheetView>
  </sheetViews>
  <sheetFormatPr defaultColWidth="9.140625" defaultRowHeight="15" x14ac:dyDescent="0.25"/>
  <cols>
    <col min="1" max="1" width="6.42578125" style="148" bestFit="1" customWidth="1"/>
    <col min="2" max="2" width="3.28515625" style="148" bestFit="1" customWidth="1"/>
    <col min="3" max="3" width="6.85546875" style="148" bestFit="1" customWidth="1"/>
    <col min="4" max="4" width="17.85546875" style="148" bestFit="1" customWidth="1"/>
    <col min="5" max="5" width="11.5703125" style="14" bestFit="1" customWidth="1"/>
    <col min="6" max="7" width="8.42578125" style="14" customWidth="1"/>
    <col min="8" max="8" width="11.5703125" style="14" customWidth="1"/>
    <col min="9" max="9" width="11.85546875" style="14" customWidth="1"/>
    <col min="10" max="11" width="18.7109375" style="14" hidden="1" customWidth="1"/>
    <col min="12" max="12" width="19.140625" style="14" hidden="1" customWidth="1"/>
    <col min="13" max="13" width="51.85546875" style="14" bestFit="1" customWidth="1"/>
  </cols>
  <sheetData>
    <row r="1" spans="1:13" s="149" customFormat="1" ht="30.75" thickBot="1" x14ac:dyDescent="0.3">
      <c r="A1" s="705" t="s">
        <v>1850</v>
      </c>
      <c r="B1" s="706"/>
      <c r="C1" s="706"/>
      <c r="D1" s="707"/>
      <c r="E1" s="447" t="s">
        <v>1851</v>
      </c>
      <c r="F1" s="708" t="s">
        <v>1930</v>
      </c>
      <c r="G1" s="709"/>
      <c r="H1" s="448" t="s">
        <v>1852</v>
      </c>
      <c r="I1" s="449" t="s">
        <v>1853</v>
      </c>
      <c r="J1" s="449" t="s">
        <v>112</v>
      </c>
      <c r="K1" s="449" t="s">
        <v>113</v>
      </c>
      <c r="L1" s="449" t="s">
        <v>114</v>
      </c>
      <c r="M1" s="450" t="s">
        <v>115</v>
      </c>
    </row>
    <row r="2" spans="1:13" x14ac:dyDescent="0.25">
      <c r="A2" s="44" t="s">
        <v>1854</v>
      </c>
      <c r="B2" s="44" t="s">
        <v>361</v>
      </c>
      <c r="C2" s="44" t="s">
        <v>1855</v>
      </c>
      <c r="D2" s="44" t="s">
        <v>1856</v>
      </c>
      <c r="E2" s="177" t="s">
        <v>1857</v>
      </c>
      <c r="F2" s="177">
        <v>1500</v>
      </c>
      <c r="G2" s="177">
        <v>3000</v>
      </c>
      <c r="H2" s="140">
        <f t="shared" ref="H2:H38" si="0">F2*G2*0.000001</f>
        <v>4.5</v>
      </c>
      <c r="I2" s="177" t="s">
        <v>1858</v>
      </c>
      <c r="J2" s="451"/>
      <c r="K2" s="451"/>
      <c r="L2" s="451"/>
      <c r="M2" s="451" t="s">
        <v>1859</v>
      </c>
    </row>
    <row r="3" spans="1:13" x14ac:dyDescent="0.25">
      <c r="A3" s="1" t="s">
        <v>1854</v>
      </c>
      <c r="B3" s="44" t="s">
        <v>361</v>
      </c>
      <c r="C3" s="44" t="s">
        <v>1860</v>
      </c>
      <c r="D3" s="44" t="s">
        <v>1861</v>
      </c>
      <c r="E3" s="203" t="s">
        <v>1857</v>
      </c>
      <c r="F3" s="203">
        <v>1500</v>
      </c>
      <c r="G3" s="203">
        <v>3000</v>
      </c>
      <c r="H3" s="140">
        <f t="shared" si="0"/>
        <v>4.5</v>
      </c>
      <c r="I3" s="203" t="s">
        <v>1858</v>
      </c>
      <c r="J3" s="451"/>
      <c r="K3" s="452"/>
      <c r="L3" s="452"/>
      <c r="M3" s="451" t="s">
        <v>1859</v>
      </c>
    </row>
    <row r="4" spans="1:13" x14ac:dyDescent="0.25">
      <c r="A4" s="1" t="s">
        <v>1854</v>
      </c>
      <c r="B4" s="44" t="s">
        <v>361</v>
      </c>
      <c r="C4" s="44" t="s">
        <v>1862</v>
      </c>
      <c r="D4" s="44" t="s">
        <v>1861</v>
      </c>
      <c r="E4" s="203" t="s">
        <v>1857</v>
      </c>
      <c r="F4" s="203">
        <v>1500</v>
      </c>
      <c r="G4" s="203">
        <v>3000</v>
      </c>
      <c r="H4" s="140">
        <f t="shared" si="0"/>
        <v>4.5</v>
      </c>
      <c r="I4" s="203" t="s">
        <v>1858</v>
      </c>
      <c r="J4" s="451"/>
      <c r="K4" s="452"/>
      <c r="L4" s="452"/>
      <c r="M4" s="451" t="s">
        <v>1859</v>
      </c>
    </row>
    <row r="5" spans="1:13" x14ac:dyDescent="0.25">
      <c r="A5" s="1" t="s">
        <v>1854</v>
      </c>
      <c r="B5" s="44" t="s">
        <v>361</v>
      </c>
      <c r="C5" s="44" t="s">
        <v>1862</v>
      </c>
      <c r="D5" s="44" t="s">
        <v>1861</v>
      </c>
      <c r="E5" s="203" t="s">
        <v>1857</v>
      </c>
      <c r="F5" s="203">
        <v>1500</v>
      </c>
      <c r="G5" s="203">
        <v>3000</v>
      </c>
      <c r="H5" s="140">
        <f t="shared" si="0"/>
        <v>4.5</v>
      </c>
      <c r="I5" s="203" t="s">
        <v>1858</v>
      </c>
      <c r="J5" s="451"/>
      <c r="K5" s="452"/>
      <c r="L5" s="452"/>
      <c r="M5" s="451" t="s">
        <v>1859</v>
      </c>
    </row>
    <row r="6" spans="1:13" x14ac:dyDescent="0.25">
      <c r="A6" s="1" t="s">
        <v>1854</v>
      </c>
      <c r="B6" s="44" t="s">
        <v>361</v>
      </c>
      <c r="C6" s="44" t="s">
        <v>1863</v>
      </c>
      <c r="D6" s="44" t="s">
        <v>1856</v>
      </c>
      <c r="E6" s="203" t="s">
        <v>1857</v>
      </c>
      <c r="F6" s="203">
        <v>1500</v>
      </c>
      <c r="G6" s="203">
        <v>2300</v>
      </c>
      <c r="H6" s="140">
        <f t="shared" si="0"/>
        <v>3.4499999999999997</v>
      </c>
      <c r="I6" s="453">
        <f>H6</f>
        <v>3.4499999999999997</v>
      </c>
      <c r="J6" s="451"/>
      <c r="K6" s="452"/>
      <c r="L6" s="452"/>
      <c r="M6" s="451" t="s">
        <v>1859</v>
      </c>
    </row>
    <row r="7" spans="1:13" x14ac:dyDescent="0.25">
      <c r="A7" s="1" t="s">
        <v>1854</v>
      </c>
      <c r="B7" s="44" t="s">
        <v>361</v>
      </c>
      <c r="C7" s="44" t="s">
        <v>1864</v>
      </c>
      <c r="D7" s="44" t="s">
        <v>1856</v>
      </c>
      <c r="E7" s="203" t="s">
        <v>1857</v>
      </c>
      <c r="F7" s="203">
        <v>1800</v>
      </c>
      <c r="G7" s="203">
        <v>2300</v>
      </c>
      <c r="H7" s="140">
        <f t="shared" si="0"/>
        <v>4.1399999999999997</v>
      </c>
      <c r="I7" s="453">
        <f>H7</f>
        <v>4.1399999999999997</v>
      </c>
      <c r="J7" s="451"/>
      <c r="K7" s="452"/>
      <c r="L7" s="452"/>
      <c r="M7" s="451" t="s">
        <v>1859</v>
      </c>
    </row>
    <row r="8" spans="1:13" x14ac:dyDescent="0.25">
      <c r="A8" s="1" t="s">
        <v>1854</v>
      </c>
      <c r="B8" s="44" t="s">
        <v>361</v>
      </c>
      <c r="C8" s="44" t="s">
        <v>1865</v>
      </c>
      <c r="D8" s="44" t="s">
        <v>1861</v>
      </c>
      <c r="E8" s="203" t="s">
        <v>1857</v>
      </c>
      <c r="F8" s="203">
        <v>3000</v>
      </c>
      <c r="G8" s="203">
        <v>3200</v>
      </c>
      <c r="H8" s="140">
        <f t="shared" si="0"/>
        <v>9.6</v>
      </c>
      <c r="I8" s="203" t="s">
        <v>1858</v>
      </c>
      <c r="J8" s="451"/>
      <c r="K8" s="452"/>
      <c r="L8" s="452"/>
      <c r="M8" s="451" t="s">
        <v>1859</v>
      </c>
    </row>
    <row r="9" spans="1:13" x14ac:dyDescent="0.25">
      <c r="A9" s="1" t="s">
        <v>1854</v>
      </c>
      <c r="B9" s="44" t="s">
        <v>361</v>
      </c>
      <c r="C9" s="44" t="s">
        <v>1865</v>
      </c>
      <c r="D9" s="44" t="s">
        <v>1861</v>
      </c>
      <c r="E9" s="203" t="s">
        <v>1857</v>
      </c>
      <c r="F9" s="203">
        <v>3000</v>
      </c>
      <c r="G9" s="203">
        <v>3200</v>
      </c>
      <c r="H9" s="140">
        <f t="shared" si="0"/>
        <v>9.6</v>
      </c>
      <c r="I9" s="203" t="s">
        <v>1858</v>
      </c>
      <c r="J9" s="451"/>
      <c r="K9" s="452"/>
      <c r="L9" s="452"/>
      <c r="M9" s="451" t="s">
        <v>1859</v>
      </c>
    </row>
    <row r="10" spans="1:13" x14ac:dyDescent="0.25">
      <c r="A10" s="1" t="s">
        <v>1854</v>
      </c>
      <c r="B10" s="44" t="s">
        <v>361</v>
      </c>
      <c r="C10" s="44" t="s">
        <v>1865</v>
      </c>
      <c r="D10" s="44" t="s">
        <v>1866</v>
      </c>
      <c r="E10" s="203" t="s">
        <v>1857</v>
      </c>
      <c r="F10" s="203">
        <v>3000</v>
      </c>
      <c r="G10" s="203">
        <v>3200</v>
      </c>
      <c r="H10" s="140">
        <f t="shared" si="0"/>
        <v>9.6</v>
      </c>
      <c r="I10" s="203" t="s">
        <v>1858</v>
      </c>
      <c r="J10" s="451"/>
      <c r="K10" s="452"/>
      <c r="L10" s="452"/>
      <c r="M10" s="451" t="s">
        <v>1859</v>
      </c>
    </row>
    <row r="11" spans="1:13" x14ac:dyDescent="0.25">
      <c r="A11" s="1" t="s">
        <v>1854</v>
      </c>
      <c r="B11" s="44" t="s">
        <v>361</v>
      </c>
      <c r="C11" s="44" t="s">
        <v>1865</v>
      </c>
      <c r="D11" s="44" t="s">
        <v>1866</v>
      </c>
      <c r="E11" s="203" t="s">
        <v>1857</v>
      </c>
      <c r="F11" s="203">
        <v>3000</v>
      </c>
      <c r="G11" s="203">
        <v>3200</v>
      </c>
      <c r="H11" s="140">
        <f t="shared" si="0"/>
        <v>9.6</v>
      </c>
      <c r="I11" s="203" t="s">
        <v>1858</v>
      </c>
      <c r="J11" s="451"/>
      <c r="K11" s="452"/>
      <c r="L11" s="452"/>
      <c r="M11" s="451" t="s">
        <v>1859</v>
      </c>
    </row>
    <row r="12" spans="1:13" x14ac:dyDescent="0.25">
      <c r="A12" s="1" t="s">
        <v>1854</v>
      </c>
      <c r="B12" s="44" t="s">
        <v>361</v>
      </c>
      <c r="C12" s="44" t="s">
        <v>1867</v>
      </c>
      <c r="D12" s="44" t="s">
        <v>1856</v>
      </c>
      <c r="E12" s="203" t="s">
        <v>1857</v>
      </c>
      <c r="F12" s="203">
        <v>1800</v>
      </c>
      <c r="G12" s="203">
        <v>3350</v>
      </c>
      <c r="H12" s="140">
        <f t="shared" si="0"/>
        <v>6.0299999999999994</v>
      </c>
      <c r="I12" s="203" t="s">
        <v>1858</v>
      </c>
      <c r="J12" s="451"/>
      <c r="K12" s="452"/>
      <c r="L12" s="452"/>
      <c r="M12" s="451" t="s">
        <v>1859</v>
      </c>
    </row>
    <row r="13" spans="1:13" x14ac:dyDescent="0.25">
      <c r="A13" s="1" t="s">
        <v>1854</v>
      </c>
      <c r="B13" s="44" t="s">
        <v>361</v>
      </c>
      <c r="C13" s="44" t="s">
        <v>1864</v>
      </c>
      <c r="D13" s="44" t="s">
        <v>1856</v>
      </c>
      <c r="E13" s="203" t="s">
        <v>1857</v>
      </c>
      <c r="F13" s="203">
        <v>1800</v>
      </c>
      <c r="G13" s="203">
        <v>2300</v>
      </c>
      <c r="H13" s="140">
        <f t="shared" si="0"/>
        <v>4.1399999999999997</v>
      </c>
      <c r="I13" s="453">
        <f>H13</f>
        <v>4.1399999999999997</v>
      </c>
      <c r="J13" s="451"/>
      <c r="K13" s="452"/>
      <c r="L13" s="452"/>
      <c r="M13" s="451" t="s">
        <v>1859</v>
      </c>
    </row>
    <row r="14" spans="1:13" x14ac:dyDescent="0.25">
      <c r="A14" s="1" t="s">
        <v>1854</v>
      </c>
      <c r="B14" s="44" t="s">
        <v>361</v>
      </c>
      <c r="C14" s="44" t="s">
        <v>1863</v>
      </c>
      <c r="D14" s="44" t="s">
        <v>1856</v>
      </c>
      <c r="E14" s="203" t="s">
        <v>1857</v>
      </c>
      <c r="F14" s="203">
        <v>1500</v>
      </c>
      <c r="G14" s="203">
        <v>2300</v>
      </c>
      <c r="H14" s="140">
        <f t="shared" si="0"/>
        <v>3.4499999999999997</v>
      </c>
      <c r="I14" s="453">
        <f>H14</f>
        <v>3.4499999999999997</v>
      </c>
      <c r="J14" s="451"/>
      <c r="K14" s="452"/>
      <c r="L14" s="452"/>
      <c r="M14" s="451" t="s">
        <v>1859</v>
      </c>
    </row>
    <row r="15" spans="1:13" x14ac:dyDescent="0.25">
      <c r="A15" s="1" t="s">
        <v>1854</v>
      </c>
      <c r="B15" s="44" t="s">
        <v>361</v>
      </c>
      <c r="C15" s="44" t="s">
        <v>1864</v>
      </c>
      <c r="D15" s="44" t="s">
        <v>1856</v>
      </c>
      <c r="E15" s="203" t="s">
        <v>1857</v>
      </c>
      <c r="F15" s="203">
        <v>1800</v>
      </c>
      <c r="G15" s="203">
        <v>2300</v>
      </c>
      <c r="H15" s="140">
        <f t="shared" si="0"/>
        <v>4.1399999999999997</v>
      </c>
      <c r="I15" s="453">
        <f>H15</f>
        <v>4.1399999999999997</v>
      </c>
      <c r="J15" s="451"/>
      <c r="K15" s="452"/>
      <c r="L15" s="452"/>
      <c r="M15" s="451" t="s">
        <v>1859</v>
      </c>
    </row>
    <row r="16" spans="1:13" x14ac:dyDescent="0.25">
      <c r="A16" s="1" t="s">
        <v>1854</v>
      </c>
      <c r="B16" s="44" t="s">
        <v>361</v>
      </c>
      <c r="C16" s="44" t="s">
        <v>1863</v>
      </c>
      <c r="D16" s="44" t="s">
        <v>1856</v>
      </c>
      <c r="E16" s="203" t="s">
        <v>1857</v>
      </c>
      <c r="F16" s="203">
        <v>1500</v>
      </c>
      <c r="G16" s="203">
        <v>2300</v>
      </c>
      <c r="H16" s="140">
        <f t="shared" si="0"/>
        <v>3.4499999999999997</v>
      </c>
      <c r="I16" s="453">
        <f>H16</f>
        <v>3.4499999999999997</v>
      </c>
      <c r="J16" s="451"/>
      <c r="K16" s="452"/>
      <c r="L16" s="452"/>
      <c r="M16" s="451" t="s">
        <v>1859</v>
      </c>
    </row>
    <row r="17" spans="1:13" x14ac:dyDescent="0.25">
      <c r="A17" s="1" t="s">
        <v>1854</v>
      </c>
      <c r="B17" s="44" t="s">
        <v>361</v>
      </c>
      <c r="C17" s="44" t="s">
        <v>1863</v>
      </c>
      <c r="D17" s="44" t="s">
        <v>1866</v>
      </c>
      <c r="E17" s="203" t="s">
        <v>1857</v>
      </c>
      <c r="F17" s="203">
        <v>1500</v>
      </c>
      <c r="G17" s="203">
        <v>2300</v>
      </c>
      <c r="H17" s="140">
        <f t="shared" si="0"/>
        <v>3.4499999999999997</v>
      </c>
      <c r="I17" s="453" t="s">
        <v>1858</v>
      </c>
      <c r="J17" s="451"/>
      <c r="K17" s="452"/>
      <c r="L17" s="452"/>
      <c r="M17" s="451" t="s">
        <v>1859</v>
      </c>
    </row>
    <row r="18" spans="1:13" x14ac:dyDescent="0.25">
      <c r="A18" s="1" t="s">
        <v>1854</v>
      </c>
      <c r="B18" s="44" t="s">
        <v>361</v>
      </c>
      <c r="C18" s="44" t="s">
        <v>1864</v>
      </c>
      <c r="D18" s="44" t="s">
        <v>1866</v>
      </c>
      <c r="E18" s="203" t="s">
        <v>1857</v>
      </c>
      <c r="F18" s="203">
        <v>1800</v>
      </c>
      <c r="G18" s="203">
        <v>2300</v>
      </c>
      <c r="H18" s="140">
        <f t="shared" si="0"/>
        <v>4.1399999999999997</v>
      </c>
      <c r="I18" s="453" t="s">
        <v>1858</v>
      </c>
      <c r="J18" s="451"/>
      <c r="K18" s="452"/>
      <c r="L18" s="452"/>
      <c r="M18" s="451" t="s">
        <v>1859</v>
      </c>
    </row>
    <row r="19" spans="1:13" x14ac:dyDescent="0.25">
      <c r="A19" s="1" t="s">
        <v>1854</v>
      </c>
      <c r="B19" s="44" t="s">
        <v>361</v>
      </c>
      <c r="C19" s="44" t="s">
        <v>1864</v>
      </c>
      <c r="D19" s="44" t="s">
        <v>1866</v>
      </c>
      <c r="E19" s="203" t="s">
        <v>1857</v>
      </c>
      <c r="F19" s="203">
        <v>1800</v>
      </c>
      <c r="G19" s="203">
        <v>2300</v>
      </c>
      <c r="H19" s="140">
        <f t="shared" si="0"/>
        <v>4.1399999999999997</v>
      </c>
      <c r="I19" s="453" t="s">
        <v>1858</v>
      </c>
      <c r="J19" s="451"/>
      <c r="K19" s="452"/>
      <c r="L19" s="452"/>
      <c r="M19" s="451" t="s">
        <v>1859</v>
      </c>
    </row>
    <row r="20" spans="1:13" x14ac:dyDescent="0.25">
      <c r="A20" s="1" t="s">
        <v>1854</v>
      </c>
      <c r="B20" s="44" t="s">
        <v>361</v>
      </c>
      <c r="C20" s="44" t="s">
        <v>1863</v>
      </c>
      <c r="D20" s="44" t="s">
        <v>1866</v>
      </c>
      <c r="E20" s="203" t="s">
        <v>1857</v>
      </c>
      <c r="F20" s="203">
        <v>1500</v>
      </c>
      <c r="G20" s="203">
        <v>2300</v>
      </c>
      <c r="H20" s="140">
        <f t="shared" si="0"/>
        <v>3.4499999999999997</v>
      </c>
      <c r="I20" s="453" t="s">
        <v>1858</v>
      </c>
      <c r="J20" s="451"/>
      <c r="K20" s="452"/>
      <c r="L20" s="452"/>
      <c r="M20" s="451" t="s">
        <v>1859</v>
      </c>
    </row>
    <row r="21" spans="1:13" x14ac:dyDescent="0.25">
      <c r="A21" s="1" t="s">
        <v>1854</v>
      </c>
      <c r="B21" s="44" t="s">
        <v>361</v>
      </c>
      <c r="C21" s="44" t="s">
        <v>1868</v>
      </c>
      <c r="D21" s="44" t="s">
        <v>1869</v>
      </c>
      <c r="E21" s="203" t="s">
        <v>1857</v>
      </c>
      <c r="F21" s="203">
        <v>1550</v>
      </c>
      <c r="G21" s="203">
        <v>2300</v>
      </c>
      <c r="H21" s="140">
        <f t="shared" si="0"/>
        <v>3.5649999999999999</v>
      </c>
      <c r="I21" s="453" t="s">
        <v>1858</v>
      </c>
      <c r="J21" s="451"/>
      <c r="K21" s="452"/>
      <c r="L21" s="452"/>
      <c r="M21" s="451" t="s">
        <v>1859</v>
      </c>
    </row>
    <row r="22" spans="1:13" x14ac:dyDescent="0.25">
      <c r="A22" s="1" t="s">
        <v>1854</v>
      </c>
      <c r="B22" s="44" t="s">
        <v>361</v>
      </c>
      <c r="C22" s="44" t="s">
        <v>1870</v>
      </c>
      <c r="D22" s="44" t="s">
        <v>1866</v>
      </c>
      <c r="E22" s="203" t="s">
        <v>1857</v>
      </c>
      <c r="F22" s="203">
        <v>1550</v>
      </c>
      <c r="G22" s="203">
        <v>2300</v>
      </c>
      <c r="H22" s="140">
        <f t="shared" si="0"/>
        <v>3.5649999999999999</v>
      </c>
      <c r="I22" s="453" t="s">
        <v>1858</v>
      </c>
      <c r="J22" s="451"/>
      <c r="K22" s="452"/>
      <c r="L22" s="452"/>
      <c r="M22" s="451" t="s">
        <v>1859</v>
      </c>
    </row>
    <row r="23" spans="1:13" x14ac:dyDescent="0.25">
      <c r="A23" s="1" t="s">
        <v>1854</v>
      </c>
      <c r="B23" s="44" t="s">
        <v>361</v>
      </c>
      <c r="C23" s="44" t="s">
        <v>1868</v>
      </c>
      <c r="D23" s="44" t="s">
        <v>1866</v>
      </c>
      <c r="E23" s="203" t="s">
        <v>1857</v>
      </c>
      <c r="F23" s="203">
        <v>1550</v>
      </c>
      <c r="G23" s="203">
        <v>2300</v>
      </c>
      <c r="H23" s="140">
        <f t="shared" si="0"/>
        <v>3.5649999999999999</v>
      </c>
      <c r="I23" s="453" t="s">
        <v>1858</v>
      </c>
      <c r="J23" s="451"/>
      <c r="K23" s="452"/>
      <c r="L23" s="452"/>
      <c r="M23" s="451" t="s">
        <v>1859</v>
      </c>
    </row>
    <row r="24" spans="1:13" x14ac:dyDescent="0.25">
      <c r="A24" s="1" t="s">
        <v>1854</v>
      </c>
      <c r="B24" s="44" t="s">
        <v>361</v>
      </c>
      <c r="C24" s="44" t="s">
        <v>1871</v>
      </c>
      <c r="D24" s="44" t="s">
        <v>1866</v>
      </c>
      <c r="E24" s="203" t="s">
        <v>1857</v>
      </c>
      <c r="F24" s="203">
        <v>1550</v>
      </c>
      <c r="G24" s="203">
        <v>2300</v>
      </c>
      <c r="H24" s="140">
        <f t="shared" si="0"/>
        <v>3.5649999999999999</v>
      </c>
      <c r="I24" s="453" t="s">
        <v>1858</v>
      </c>
      <c r="J24" s="451"/>
      <c r="K24" s="452"/>
      <c r="L24" s="452"/>
      <c r="M24" s="451" t="s">
        <v>1859</v>
      </c>
    </row>
    <row r="25" spans="1:13" x14ac:dyDescent="0.25">
      <c r="A25" s="1" t="s">
        <v>1854</v>
      </c>
      <c r="B25" s="44" t="s">
        <v>361</v>
      </c>
      <c r="C25" s="44" t="s">
        <v>1870</v>
      </c>
      <c r="D25" s="44" t="s">
        <v>1866</v>
      </c>
      <c r="E25" s="203" t="s">
        <v>1857</v>
      </c>
      <c r="F25" s="203">
        <v>1550</v>
      </c>
      <c r="G25" s="203">
        <v>2300</v>
      </c>
      <c r="H25" s="140">
        <f t="shared" si="0"/>
        <v>3.5649999999999999</v>
      </c>
      <c r="I25" s="453" t="s">
        <v>1858</v>
      </c>
      <c r="J25" s="451"/>
      <c r="K25" s="452"/>
      <c r="L25" s="452"/>
      <c r="M25" s="451" t="s">
        <v>1859</v>
      </c>
    </row>
    <row r="26" spans="1:13" x14ac:dyDescent="0.25">
      <c r="A26" s="1" t="s">
        <v>1854</v>
      </c>
      <c r="B26" s="44" t="s">
        <v>361</v>
      </c>
      <c r="C26" s="44" t="s">
        <v>1868</v>
      </c>
      <c r="D26" s="44" t="s">
        <v>1866</v>
      </c>
      <c r="E26" s="203" t="s">
        <v>1857</v>
      </c>
      <c r="F26" s="203">
        <v>1550</v>
      </c>
      <c r="G26" s="203">
        <v>2300</v>
      </c>
      <c r="H26" s="140">
        <f t="shared" si="0"/>
        <v>3.5649999999999999</v>
      </c>
      <c r="I26" s="453" t="s">
        <v>1858</v>
      </c>
      <c r="J26" s="451"/>
      <c r="K26" s="452"/>
      <c r="L26" s="452"/>
      <c r="M26" s="451" t="s">
        <v>1859</v>
      </c>
    </row>
    <row r="27" spans="1:13" x14ac:dyDescent="0.25">
      <c r="A27" s="1" t="s">
        <v>1854</v>
      </c>
      <c r="B27" s="44" t="s">
        <v>278</v>
      </c>
      <c r="C27" s="44" t="s">
        <v>1872</v>
      </c>
      <c r="D27" s="44" t="s">
        <v>1866</v>
      </c>
      <c r="E27" s="203" t="s">
        <v>1857</v>
      </c>
      <c r="F27" s="203">
        <v>5250</v>
      </c>
      <c r="G27" s="203">
        <v>3350</v>
      </c>
      <c r="H27" s="140">
        <f t="shared" si="0"/>
        <v>17.587499999999999</v>
      </c>
      <c r="I27" s="453" t="s">
        <v>1858</v>
      </c>
      <c r="J27" s="451"/>
      <c r="K27" s="452"/>
      <c r="L27" s="452"/>
      <c r="M27" s="451" t="s">
        <v>1859</v>
      </c>
    </row>
    <row r="28" spans="1:13" x14ac:dyDescent="0.25">
      <c r="A28" s="1" t="s">
        <v>1854</v>
      </c>
      <c r="B28" s="44" t="s">
        <v>278</v>
      </c>
      <c r="C28" s="44" t="s">
        <v>1873</v>
      </c>
      <c r="D28" s="44" t="s">
        <v>1866</v>
      </c>
      <c r="E28" s="203" t="s">
        <v>1857</v>
      </c>
      <c r="F28" s="203">
        <v>5250</v>
      </c>
      <c r="G28" s="203">
        <v>3350</v>
      </c>
      <c r="H28" s="140">
        <f t="shared" si="0"/>
        <v>17.587499999999999</v>
      </c>
      <c r="I28" s="453" t="s">
        <v>1858</v>
      </c>
      <c r="J28" s="451"/>
      <c r="K28" s="452"/>
      <c r="L28" s="452"/>
      <c r="M28" s="451" t="s">
        <v>1859</v>
      </c>
    </row>
    <row r="29" spans="1:13" x14ac:dyDescent="0.25">
      <c r="A29" s="1" t="s">
        <v>1854</v>
      </c>
      <c r="B29" s="44" t="s">
        <v>278</v>
      </c>
      <c r="C29" s="44" t="s">
        <v>1872</v>
      </c>
      <c r="D29" s="44" t="s">
        <v>1866</v>
      </c>
      <c r="E29" s="203" t="s">
        <v>1857</v>
      </c>
      <c r="F29" s="203">
        <v>5250</v>
      </c>
      <c r="G29" s="203">
        <v>3350</v>
      </c>
      <c r="H29" s="140">
        <f t="shared" si="0"/>
        <v>17.587499999999999</v>
      </c>
      <c r="I29" s="453" t="s">
        <v>1858</v>
      </c>
      <c r="J29" s="451"/>
      <c r="K29" s="452"/>
      <c r="L29" s="452"/>
      <c r="M29" s="451" t="s">
        <v>1859</v>
      </c>
    </row>
    <row r="30" spans="1:13" x14ac:dyDescent="0.25">
      <c r="A30" s="1" t="s">
        <v>1854</v>
      </c>
      <c r="B30" s="44" t="s">
        <v>228</v>
      </c>
      <c r="C30" s="44" t="s">
        <v>1868</v>
      </c>
      <c r="D30" s="44" t="s">
        <v>1866</v>
      </c>
      <c r="E30" s="203" t="s">
        <v>1857</v>
      </c>
      <c r="F30" s="203">
        <v>1550</v>
      </c>
      <c r="G30" s="203">
        <v>2300</v>
      </c>
      <c r="H30" s="140">
        <f t="shared" si="0"/>
        <v>3.5649999999999999</v>
      </c>
      <c r="I30" s="453" t="s">
        <v>1858</v>
      </c>
      <c r="J30" s="451"/>
      <c r="K30" s="452"/>
      <c r="L30" s="452"/>
      <c r="M30" s="451" t="s">
        <v>1859</v>
      </c>
    </row>
    <row r="31" spans="1:13" x14ac:dyDescent="0.25">
      <c r="A31" s="1" t="s">
        <v>1854</v>
      </c>
      <c r="B31" s="44" t="s">
        <v>228</v>
      </c>
      <c r="C31" s="44" t="s">
        <v>1868</v>
      </c>
      <c r="D31" s="44" t="s">
        <v>1866</v>
      </c>
      <c r="E31" s="203" t="s">
        <v>1857</v>
      </c>
      <c r="F31" s="203">
        <v>1550</v>
      </c>
      <c r="G31" s="203">
        <v>2300</v>
      </c>
      <c r="H31" s="140">
        <f t="shared" si="0"/>
        <v>3.5649999999999999</v>
      </c>
      <c r="I31" s="453" t="s">
        <v>1858</v>
      </c>
      <c r="J31" s="451"/>
      <c r="K31" s="452"/>
      <c r="L31" s="452"/>
      <c r="M31" s="451" t="s">
        <v>1859</v>
      </c>
    </row>
    <row r="32" spans="1:13" x14ac:dyDescent="0.25">
      <c r="A32" s="1" t="s">
        <v>1854</v>
      </c>
      <c r="B32" s="44" t="s">
        <v>228</v>
      </c>
      <c r="C32" s="44" t="s">
        <v>1871</v>
      </c>
      <c r="D32" s="44" t="s">
        <v>1866</v>
      </c>
      <c r="E32" s="203" t="s">
        <v>1857</v>
      </c>
      <c r="F32" s="203">
        <v>1550</v>
      </c>
      <c r="G32" s="203">
        <v>2300</v>
      </c>
      <c r="H32" s="140">
        <f t="shared" si="0"/>
        <v>3.5649999999999999</v>
      </c>
      <c r="I32" s="453" t="s">
        <v>1858</v>
      </c>
      <c r="J32" s="451"/>
      <c r="K32" s="452"/>
      <c r="L32" s="452"/>
      <c r="M32" s="451" t="s">
        <v>1859</v>
      </c>
    </row>
    <row r="33" spans="1:13" x14ac:dyDescent="0.25">
      <c r="A33" s="1" t="s">
        <v>1854</v>
      </c>
      <c r="B33" s="44" t="s">
        <v>228</v>
      </c>
      <c r="C33" s="44" t="s">
        <v>1868</v>
      </c>
      <c r="D33" s="44" t="s">
        <v>1866</v>
      </c>
      <c r="E33" s="203" t="s">
        <v>1857</v>
      </c>
      <c r="F33" s="203">
        <v>1550</v>
      </c>
      <c r="G33" s="203">
        <v>2300</v>
      </c>
      <c r="H33" s="140">
        <f t="shared" si="0"/>
        <v>3.5649999999999999</v>
      </c>
      <c r="I33" s="453" t="s">
        <v>1858</v>
      </c>
      <c r="J33" s="451"/>
      <c r="K33" s="452"/>
      <c r="L33" s="452"/>
      <c r="M33" s="451" t="s">
        <v>1859</v>
      </c>
    </row>
    <row r="34" spans="1:13" x14ac:dyDescent="0.25">
      <c r="A34" s="1" t="s">
        <v>1854</v>
      </c>
      <c r="B34" s="44" t="s">
        <v>228</v>
      </c>
      <c r="C34" s="44" t="s">
        <v>1868</v>
      </c>
      <c r="D34" s="44" t="s">
        <v>1866</v>
      </c>
      <c r="E34" s="203" t="s">
        <v>1857</v>
      </c>
      <c r="F34" s="203">
        <v>1550</v>
      </c>
      <c r="G34" s="203">
        <v>2300</v>
      </c>
      <c r="H34" s="140">
        <f t="shared" si="0"/>
        <v>3.5649999999999999</v>
      </c>
      <c r="I34" s="203" t="s">
        <v>1858</v>
      </c>
      <c r="J34" s="451"/>
      <c r="K34" s="452"/>
      <c r="L34" s="452"/>
      <c r="M34" s="451" t="s">
        <v>1859</v>
      </c>
    </row>
    <row r="35" spans="1:13" x14ac:dyDescent="0.25">
      <c r="A35" s="1" t="s">
        <v>1854</v>
      </c>
      <c r="B35" s="44" t="s">
        <v>228</v>
      </c>
      <c r="C35" s="44" t="s">
        <v>1868</v>
      </c>
      <c r="D35" s="44" t="s">
        <v>1856</v>
      </c>
      <c r="E35" s="203" t="s">
        <v>1857</v>
      </c>
      <c r="F35" s="203">
        <v>1550</v>
      </c>
      <c r="G35" s="203">
        <v>2300</v>
      </c>
      <c r="H35" s="140">
        <f t="shared" si="0"/>
        <v>3.5649999999999999</v>
      </c>
      <c r="I35" s="203" t="s">
        <v>1858</v>
      </c>
      <c r="J35" s="451"/>
      <c r="K35" s="452"/>
      <c r="L35" s="452"/>
      <c r="M35" s="451" t="s">
        <v>1859</v>
      </c>
    </row>
    <row r="36" spans="1:13" x14ac:dyDescent="0.25">
      <c r="A36" s="1" t="s">
        <v>1854</v>
      </c>
      <c r="B36" s="44" t="s">
        <v>228</v>
      </c>
      <c r="C36" s="44" t="s">
        <v>1863</v>
      </c>
      <c r="D36" s="44" t="s">
        <v>1866</v>
      </c>
      <c r="E36" s="203" t="s">
        <v>1857</v>
      </c>
      <c r="F36" s="203">
        <v>1500</v>
      </c>
      <c r="G36" s="203">
        <v>2300</v>
      </c>
      <c r="H36" s="140">
        <f t="shared" si="0"/>
        <v>3.4499999999999997</v>
      </c>
      <c r="I36" s="203" t="s">
        <v>1858</v>
      </c>
      <c r="J36" s="451"/>
      <c r="K36" s="452"/>
      <c r="L36" s="452"/>
      <c r="M36" s="451" t="s">
        <v>1859</v>
      </c>
    </row>
    <row r="37" spans="1:13" x14ac:dyDescent="0.25">
      <c r="A37" s="1" t="s">
        <v>1854</v>
      </c>
      <c r="B37" s="44" t="s">
        <v>228</v>
      </c>
      <c r="C37" s="44" t="s">
        <v>1864</v>
      </c>
      <c r="D37" s="44" t="s">
        <v>1866</v>
      </c>
      <c r="E37" s="203" t="s">
        <v>1857</v>
      </c>
      <c r="F37" s="203">
        <v>1800</v>
      </c>
      <c r="G37" s="203">
        <v>2300</v>
      </c>
      <c r="H37" s="140">
        <f t="shared" si="0"/>
        <v>4.1399999999999997</v>
      </c>
      <c r="I37" s="203" t="s">
        <v>1858</v>
      </c>
      <c r="J37" s="451"/>
      <c r="K37" s="452"/>
      <c r="L37" s="452"/>
      <c r="M37" s="451" t="s">
        <v>1859</v>
      </c>
    </row>
    <row r="38" spans="1:13" x14ac:dyDescent="0.25">
      <c r="A38" s="1" t="s">
        <v>1854</v>
      </c>
      <c r="B38" s="44" t="s">
        <v>228</v>
      </c>
      <c r="C38" s="44" t="s">
        <v>1864</v>
      </c>
      <c r="D38" s="44" t="s">
        <v>1866</v>
      </c>
      <c r="E38" s="203" t="s">
        <v>1857</v>
      </c>
      <c r="F38" s="203">
        <v>1800</v>
      </c>
      <c r="G38" s="203">
        <v>2300</v>
      </c>
      <c r="H38" s="140">
        <f t="shared" si="0"/>
        <v>4.1399999999999997</v>
      </c>
      <c r="I38" s="203" t="s">
        <v>1858</v>
      </c>
      <c r="J38" s="451"/>
      <c r="K38" s="452"/>
      <c r="L38" s="452"/>
      <c r="M38" s="451" t="s">
        <v>1859</v>
      </c>
    </row>
    <row r="39" spans="1:13" x14ac:dyDescent="0.25">
      <c r="A39" s="1" t="s">
        <v>1854</v>
      </c>
      <c r="B39" s="44" t="s">
        <v>228</v>
      </c>
      <c r="C39" s="44" t="s">
        <v>1863</v>
      </c>
      <c r="D39" s="44" t="s">
        <v>1866</v>
      </c>
      <c r="E39" s="203" t="s">
        <v>1857</v>
      </c>
      <c r="F39" s="203">
        <v>1500</v>
      </c>
      <c r="G39" s="203">
        <v>2300</v>
      </c>
      <c r="H39" s="140">
        <f>F39*G39*0.000001</f>
        <v>3.4499999999999997</v>
      </c>
      <c r="I39" s="203" t="s">
        <v>1858</v>
      </c>
      <c r="J39" s="451"/>
      <c r="K39" s="452"/>
      <c r="L39" s="452"/>
      <c r="M39" s="451" t="s">
        <v>1859</v>
      </c>
    </row>
    <row r="40" spans="1:13" x14ac:dyDescent="0.25">
      <c r="A40" s="1" t="s">
        <v>1854</v>
      </c>
      <c r="B40" s="44" t="s">
        <v>228</v>
      </c>
      <c r="C40" s="44" t="s">
        <v>1863</v>
      </c>
      <c r="D40" s="44" t="s">
        <v>1869</v>
      </c>
      <c r="E40" s="203" t="s">
        <v>1857</v>
      </c>
      <c r="F40" s="203">
        <v>1500</v>
      </c>
      <c r="G40" s="203">
        <v>2300</v>
      </c>
      <c r="H40" s="140">
        <f>F40*G40*0.000001</f>
        <v>3.4499999999999997</v>
      </c>
      <c r="I40" s="203" t="s">
        <v>1858</v>
      </c>
      <c r="J40" s="451"/>
      <c r="K40" s="452"/>
      <c r="L40" s="452"/>
      <c r="M40" s="451" t="s">
        <v>1859</v>
      </c>
    </row>
    <row r="41" spans="1:13" x14ac:dyDescent="0.25">
      <c r="A41" s="1" t="s">
        <v>1854</v>
      </c>
      <c r="B41" s="44" t="s">
        <v>228</v>
      </c>
      <c r="C41" s="44" t="s">
        <v>1864</v>
      </c>
      <c r="D41" s="44" t="s">
        <v>1869</v>
      </c>
      <c r="E41" s="203" t="s">
        <v>1857</v>
      </c>
      <c r="F41" s="203">
        <v>1800</v>
      </c>
      <c r="G41" s="203">
        <v>2300</v>
      </c>
      <c r="H41" s="140">
        <f t="shared" ref="H41" si="1">F41*G41*0.000001</f>
        <v>4.1399999999999997</v>
      </c>
      <c r="I41" s="203" t="s">
        <v>1858</v>
      </c>
      <c r="J41" s="451"/>
      <c r="K41" s="452"/>
      <c r="L41" s="452"/>
      <c r="M41" s="451" t="s">
        <v>1859</v>
      </c>
    </row>
    <row r="42" spans="1:13" x14ac:dyDescent="0.25">
      <c r="A42" s="1" t="s">
        <v>1854</v>
      </c>
      <c r="B42" s="44" t="s">
        <v>228</v>
      </c>
      <c r="C42" s="44" t="s">
        <v>1863</v>
      </c>
      <c r="D42" s="44" t="s">
        <v>1869</v>
      </c>
      <c r="E42" s="203" t="s">
        <v>1857</v>
      </c>
      <c r="F42" s="203">
        <v>1500</v>
      </c>
      <c r="G42" s="203">
        <v>2300</v>
      </c>
      <c r="H42" s="140">
        <f>F42*G42*0.000001</f>
        <v>3.4499999999999997</v>
      </c>
      <c r="I42" s="203" t="s">
        <v>1858</v>
      </c>
      <c r="J42" s="451"/>
      <c r="K42" s="452"/>
      <c r="L42" s="452"/>
      <c r="M42" s="451" t="s">
        <v>1859</v>
      </c>
    </row>
    <row r="43" spans="1:13" x14ac:dyDescent="0.25">
      <c r="A43" s="1" t="s">
        <v>1854</v>
      </c>
      <c r="B43" s="44" t="s">
        <v>228</v>
      </c>
      <c r="C43" s="44" t="s">
        <v>1864</v>
      </c>
      <c r="D43" s="44" t="s">
        <v>1869</v>
      </c>
      <c r="E43" s="203" t="s">
        <v>1857</v>
      </c>
      <c r="F43" s="203">
        <v>1800</v>
      </c>
      <c r="G43" s="203">
        <v>2300</v>
      </c>
      <c r="H43" s="140">
        <f t="shared" ref="H43:H44" si="2">F43*G43*0.000001</f>
        <v>4.1399999999999997</v>
      </c>
      <c r="I43" s="203" t="s">
        <v>1858</v>
      </c>
      <c r="J43" s="451"/>
      <c r="K43" s="452"/>
      <c r="L43" s="452"/>
      <c r="M43" s="451" t="s">
        <v>1859</v>
      </c>
    </row>
    <row r="44" spans="1:13" x14ac:dyDescent="0.25">
      <c r="A44" s="1" t="s">
        <v>1854</v>
      </c>
      <c r="B44" s="44" t="s">
        <v>228</v>
      </c>
      <c r="C44" s="44" t="s">
        <v>1864</v>
      </c>
      <c r="D44" s="44" t="s">
        <v>1869</v>
      </c>
      <c r="E44" s="203" t="s">
        <v>1857</v>
      </c>
      <c r="F44" s="203">
        <v>1800</v>
      </c>
      <c r="G44" s="203">
        <v>2300</v>
      </c>
      <c r="H44" s="140">
        <f t="shared" si="2"/>
        <v>4.1399999999999997</v>
      </c>
      <c r="I44" s="203" t="s">
        <v>1858</v>
      </c>
      <c r="J44" s="451"/>
      <c r="K44" s="452"/>
      <c r="L44" s="452"/>
      <c r="M44" s="451" t="s">
        <v>1859</v>
      </c>
    </row>
    <row r="45" spans="1:13" x14ac:dyDescent="0.25">
      <c r="A45" s="1" t="s">
        <v>1854</v>
      </c>
      <c r="B45" s="44" t="s">
        <v>228</v>
      </c>
      <c r="C45" s="44" t="s">
        <v>1863</v>
      </c>
      <c r="D45" s="44" t="s">
        <v>1869</v>
      </c>
      <c r="E45" s="203" t="s">
        <v>1857</v>
      </c>
      <c r="F45" s="203">
        <v>1500</v>
      </c>
      <c r="G45" s="203">
        <v>2300</v>
      </c>
      <c r="H45" s="140">
        <f>F45*G45*0.000001</f>
        <v>3.4499999999999997</v>
      </c>
      <c r="I45" s="203" t="s">
        <v>1858</v>
      </c>
      <c r="J45" s="451"/>
      <c r="K45" s="452"/>
      <c r="L45" s="452"/>
      <c r="M45" s="451" t="s">
        <v>1859</v>
      </c>
    </row>
    <row r="46" spans="1:13" x14ac:dyDescent="0.25">
      <c r="A46" s="1" t="s">
        <v>1854</v>
      </c>
      <c r="B46" s="44" t="s">
        <v>228</v>
      </c>
      <c r="C46" s="44" t="s">
        <v>1864</v>
      </c>
      <c r="D46" s="44" t="s">
        <v>1869</v>
      </c>
      <c r="E46" s="203" t="s">
        <v>1857</v>
      </c>
      <c r="F46" s="203">
        <v>1800</v>
      </c>
      <c r="G46" s="203">
        <v>2300</v>
      </c>
      <c r="H46" s="140">
        <f t="shared" ref="H46:H109" si="3">F46*G46*0.000001</f>
        <v>4.1399999999999997</v>
      </c>
      <c r="I46" s="203" t="s">
        <v>1858</v>
      </c>
      <c r="J46" s="451"/>
      <c r="K46" s="452"/>
      <c r="L46" s="452"/>
      <c r="M46" s="451" t="s">
        <v>1859</v>
      </c>
    </row>
    <row r="47" spans="1:13" x14ac:dyDescent="0.25">
      <c r="A47" s="1" t="s">
        <v>1854</v>
      </c>
      <c r="B47" s="44" t="s">
        <v>228</v>
      </c>
      <c r="C47" s="44" t="s">
        <v>1864</v>
      </c>
      <c r="D47" s="44" t="s">
        <v>1869</v>
      </c>
      <c r="E47" s="203" t="s">
        <v>1857</v>
      </c>
      <c r="F47" s="203">
        <v>1800</v>
      </c>
      <c r="G47" s="203">
        <v>2300</v>
      </c>
      <c r="H47" s="140">
        <f t="shared" si="3"/>
        <v>4.1399999999999997</v>
      </c>
      <c r="I47" s="203" t="s">
        <v>1858</v>
      </c>
      <c r="J47" s="451"/>
      <c r="K47" s="452"/>
      <c r="L47" s="452"/>
      <c r="M47" s="451" t="s">
        <v>1859</v>
      </c>
    </row>
    <row r="48" spans="1:13" x14ac:dyDescent="0.25">
      <c r="A48" s="1" t="s">
        <v>1854</v>
      </c>
      <c r="B48" s="44" t="s">
        <v>228</v>
      </c>
      <c r="C48" s="44" t="s">
        <v>1863</v>
      </c>
      <c r="D48" s="44" t="s">
        <v>1869</v>
      </c>
      <c r="E48" s="203" t="s">
        <v>1857</v>
      </c>
      <c r="F48" s="203">
        <v>1500</v>
      </c>
      <c r="G48" s="203">
        <v>2300</v>
      </c>
      <c r="H48" s="140">
        <f t="shared" si="3"/>
        <v>3.4499999999999997</v>
      </c>
      <c r="I48" s="203" t="s">
        <v>1858</v>
      </c>
      <c r="J48" s="451"/>
      <c r="K48" s="452"/>
      <c r="L48" s="452"/>
      <c r="M48" s="451" t="s">
        <v>1859</v>
      </c>
    </row>
    <row r="49" spans="1:13" x14ac:dyDescent="0.25">
      <c r="A49" s="1" t="s">
        <v>1854</v>
      </c>
      <c r="B49" s="44" t="s">
        <v>228</v>
      </c>
      <c r="C49" s="44" t="s">
        <v>1874</v>
      </c>
      <c r="D49" s="44" t="s">
        <v>1869</v>
      </c>
      <c r="E49" s="203" t="s">
        <v>1857</v>
      </c>
      <c r="F49" s="203">
        <v>1800</v>
      </c>
      <c r="G49" s="203">
        <v>3200</v>
      </c>
      <c r="H49" s="140">
        <f t="shared" si="3"/>
        <v>5.76</v>
      </c>
      <c r="I49" s="203" t="s">
        <v>1858</v>
      </c>
      <c r="J49" s="451"/>
      <c r="K49" s="452"/>
      <c r="L49" s="452"/>
      <c r="M49" s="451" t="s">
        <v>1859</v>
      </c>
    </row>
    <row r="50" spans="1:13" x14ac:dyDescent="0.25">
      <c r="A50" s="1" t="s">
        <v>1854</v>
      </c>
      <c r="B50" s="44" t="s">
        <v>228</v>
      </c>
      <c r="C50" s="44" t="s">
        <v>1875</v>
      </c>
      <c r="D50" s="44" t="s">
        <v>1869</v>
      </c>
      <c r="E50" s="203" t="s">
        <v>1857</v>
      </c>
      <c r="F50" s="203">
        <v>1500</v>
      </c>
      <c r="G50" s="203">
        <v>3200</v>
      </c>
      <c r="H50" s="140">
        <f t="shared" si="3"/>
        <v>4.8</v>
      </c>
      <c r="I50" s="203" t="s">
        <v>1858</v>
      </c>
      <c r="J50" s="451"/>
      <c r="K50" s="452"/>
      <c r="L50" s="452"/>
      <c r="M50" s="451" t="s">
        <v>1859</v>
      </c>
    </row>
    <row r="51" spans="1:13" x14ac:dyDescent="0.25">
      <c r="A51" s="1" t="s">
        <v>1854</v>
      </c>
      <c r="B51" s="44" t="s">
        <v>228</v>
      </c>
      <c r="C51" s="44" t="s">
        <v>1875</v>
      </c>
      <c r="D51" s="44" t="s">
        <v>1869</v>
      </c>
      <c r="E51" s="203" t="s">
        <v>1857</v>
      </c>
      <c r="F51" s="203">
        <v>1500</v>
      </c>
      <c r="G51" s="203">
        <v>3200</v>
      </c>
      <c r="H51" s="140">
        <f t="shared" si="3"/>
        <v>4.8</v>
      </c>
      <c r="I51" s="203" t="s">
        <v>1858</v>
      </c>
      <c r="J51" s="451"/>
      <c r="K51" s="452"/>
      <c r="L51" s="452"/>
      <c r="M51" s="451" t="s">
        <v>1859</v>
      </c>
    </row>
    <row r="52" spans="1:13" x14ac:dyDescent="0.25">
      <c r="A52" s="1" t="s">
        <v>1854</v>
      </c>
      <c r="B52" s="44" t="s">
        <v>228</v>
      </c>
      <c r="C52" s="44" t="s">
        <v>1875</v>
      </c>
      <c r="D52" s="44" t="s">
        <v>1861</v>
      </c>
      <c r="E52" s="203" t="s">
        <v>1857</v>
      </c>
      <c r="F52" s="203">
        <v>1500</v>
      </c>
      <c r="G52" s="203">
        <v>1500</v>
      </c>
      <c r="H52" s="140">
        <f t="shared" si="3"/>
        <v>2.25</v>
      </c>
      <c r="I52" s="203" t="s">
        <v>1858</v>
      </c>
      <c r="J52" s="451"/>
      <c r="K52" s="452"/>
      <c r="L52" s="452"/>
      <c r="M52" s="451" t="s">
        <v>1859</v>
      </c>
    </row>
    <row r="53" spans="1:13" x14ac:dyDescent="0.25">
      <c r="A53" s="1" t="s">
        <v>1854</v>
      </c>
      <c r="B53" s="44" t="s">
        <v>228</v>
      </c>
      <c r="C53" s="44" t="s">
        <v>1855</v>
      </c>
      <c r="D53" s="44" t="s">
        <v>1861</v>
      </c>
      <c r="E53" s="139" t="s">
        <v>1857</v>
      </c>
      <c r="F53" s="139">
        <v>1500</v>
      </c>
      <c r="G53" s="139">
        <v>3000</v>
      </c>
      <c r="H53" s="140">
        <f t="shared" si="3"/>
        <v>4.5</v>
      </c>
      <c r="I53" s="139" t="s">
        <v>1858</v>
      </c>
      <c r="J53" s="451"/>
      <c r="K53" s="452"/>
      <c r="L53" s="452"/>
      <c r="M53" s="451" t="s">
        <v>1859</v>
      </c>
    </row>
    <row r="54" spans="1:13" x14ac:dyDescent="0.25">
      <c r="A54" s="1" t="s">
        <v>1854</v>
      </c>
      <c r="B54" s="44" t="s">
        <v>228</v>
      </c>
      <c r="C54" s="44" t="s">
        <v>1855</v>
      </c>
      <c r="D54" s="44" t="s">
        <v>1861</v>
      </c>
      <c r="E54" s="139" t="s">
        <v>1857</v>
      </c>
      <c r="F54" s="139">
        <v>1500</v>
      </c>
      <c r="G54" s="139">
        <v>3000</v>
      </c>
      <c r="H54" s="140">
        <f t="shared" si="3"/>
        <v>4.5</v>
      </c>
      <c r="I54" s="139" t="s">
        <v>1858</v>
      </c>
      <c r="J54" s="451"/>
      <c r="K54" s="452"/>
      <c r="L54" s="452"/>
      <c r="M54" s="451" t="s">
        <v>1859</v>
      </c>
    </row>
    <row r="55" spans="1:13" x14ac:dyDescent="0.25">
      <c r="A55" s="1" t="s">
        <v>1854</v>
      </c>
      <c r="B55" s="44" t="s">
        <v>228</v>
      </c>
      <c r="C55" s="44" t="s">
        <v>1876</v>
      </c>
      <c r="D55" s="44" t="s">
        <v>1869</v>
      </c>
      <c r="E55" s="139" t="s">
        <v>1857</v>
      </c>
      <c r="F55" s="139">
        <v>1500</v>
      </c>
      <c r="G55" s="139">
        <v>3000</v>
      </c>
      <c r="H55" s="140">
        <f t="shared" si="3"/>
        <v>4.5</v>
      </c>
      <c r="I55" s="139" t="s">
        <v>1858</v>
      </c>
      <c r="J55" s="451"/>
      <c r="K55" s="452"/>
      <c r="L55" s="452"/>
      <c r="M55" s="451" t="s">
        <v>1859</v>
      </c>
    </row>
    <row r="56" spans="1:13" x14ac:dyDescent="0.25">
      <c r="A56" s="1" t="s">
        <v>1854</v>
      </c>
      <c r="B56" s="44" t="s">
        <v>228</v>
      </c>
      <c r="C56" s="44" t="s">
        <v>1868</v>
      </c>
      <c r="D56" s="44" t="s">
        <v>1861</v>
      </c>
      <c r="E56" s="203" t="s">
        <v>1857</v>
      </c>
      <c r="F56" s="203">
        <v>1550</v>
      </c>
      <c r="G56" s="203">
        <v>2300</v>
      </c>
      <c r="H56" s="140">
        <f t="shared" si="3"/>
        <v>3.5649999999999999</v>
      </c>
      <c r="I56" s="453" t="s">
        <v>1858</v>
      </c>
      <c r="J56" s="451"/>
      <c r="K56" s="452"/>
      <c r="L56" s="452"/>
      <c r="M56" s="451" t="s">
        <v>1859</v>
      </c>
    </row>
    <row r="57" spans="1:13" x14ac:dyDescent="0.25">
      <c r="A57" s="1" t="s">
        <v>1854</v>
      </c>
      <c r="B57" s="44" t="s">
        <v>228</v>
      </c>
      <c r="C57" s="44" t="s">
        <v>1868</v>
      </c>
      <c r="D57" s="44" t="s">
        <v>1861</v>
      </c>
      <c r="E57" s="203" t="s">
        <v>1857</v>
      </c>
      <c r="F57" s="203">
        <v>1550</v>
      </c>
      <c r="G57" s="203">
        <v>2300</v>
      </c>
      <c r="H57" s="140">
        <f t="shared" si="3"/>
        <v>3.5649999999999999</v>
      </c>
      <c r="I57" s="453" t="s">
        <v>1858</v>
      </c>
      <c r="J57" s="451"/>
      <c r="K57" s="452"/>
      <c r="L57" s="452"/>
      <c r="M57" s="451" t="s">
        <v>1859</v>
      </c>
    </row>
    <row r="58" spans="1:13" x14ac:dyDescent="0.25">
      <c r="A58" s="1" t="s">
        <v>1854</v>
      </c>
      <c r="B58" s="44" t="s">
        <v>228</v>
      </c>
      <c r="C58" s="44" t="s">
        <v>1868</v>
      </c>
      <c r="D58" s="44" t="s">
        <v>1861</v>
      </c>
      <c r="E58" s="203" t="s">
        <v>1857</v>
      </c>
      <c r="F58" s="203">
        <v>1550</v>
      </c>
      <c r="G58" s="203">
        <v>2300</v>
      </c>
      <c r="H58" s="140">
        <f t="shared" si="3"/>
        <v>3.5649999999999999</v>
      </c>
      <c r="I58" s="453" t="s">
        <v>1858</v>
      </c>
      <c r="J58" s="451"/>
      <c r="K58" s="452"/>
      <c r="L58" s="452"/>
      <c r="M58" s="451" t="s">
        <v>1859</v>
      </c>
    </row>
    <row r="59" spans="1:13" x14ac:dyDescent="0.25">
      <c r="A59" s="1" t="s">
        <v>1854</v>
      </c>
      <c r="B59" s="44" t="s">
        <v>228</v>
      </c>
      <c r="C59" s="44" t="s">
        <v>1868</v>
      </c>
      <c r="D59" s="44" t="s">
        <v>1861</v>
      </c>
      <c r="E59" s="203" t="s">
        <v>1857</v>
      </c>
      <c r="F59" s="203">
        <v>1550</v>
      </c>
      <c r="G59" s="203">
        <v>2300</v>
      </c>
      <c r="H59" s="140">
        <f t="shared" si="3"/>
        <v>3.5649999999999999</v>
      </c>
      <c r="I59" s="453" t="s">
        <v>1858</v>
      </c>
      <c r="J59" s="451"/>
      <c r="K59" s="452"/>
      <c r="L59" s="452"/>
      <c r="M59" s="451" t="s">
        <v>1859</v>
      </c>
    </row>
    <row r="60" spans="1:13" x14ac:dyDescent="0.25">
      <c r="A60" s="1" t="s">
        <v>1854</v>
      </c>
      <c r="B60" s="44" t="s">
        <v>228</v>
      </c>
      <c r="C60" s="44" t="s">
        <v>1868</v>
      </c>
      <c r="D60" s="44" t="s">
        <v>1861</v>
      </c>
      <c r="E60" s="203" t="s">
        <v>1857</v>
      </c>
      <c r="F60" s="203">
        <v>1550</v>
      </c>
      <c r="G60" s="203">
        <v>2300</v>
      </c>
      <c r="H60" s="140">
        <f t="shared" si="3"/>
        <v>3.5649999999999999</v>
      </c>
      <c r="I60" s="453" t="s">
        <v>1858</v>
      </c>
      <c r="J60" s="451"/>
      <c r="K60" s="452"/>
      <c r="L60" s="452"/>
      <c r="M60" s="451" t="s">
        <v>1859</v>
      </c>
    </row>
    <row r="61" spans="1:13" x14ac:dyDescent="0.25">
      <c r="A61" s="1" t="s">
        <v>1854</v>
      </c>
      <c r="B61" s="44" t="s">
        <v>361</v>
      </c>
      <c r="C61" s="44" t="s">
        <v>1868</v>
      </c>
      <c r="D61" s="44" t="s">
        <v>1861</v>
      </c>
      <c r="E61" s="203" t="s">
        <v>1857</v>
      </c>
      <c r="F61" s="203">
        <v>1550</v>
      </c>
      <c r="G61" s="203">
        <v>2300</v>
      </c>
      <c r="H61" s="140">
        <f t="shared" si="3"/>
        <v>3.5649999999999999</v>
      </c>
      <c r="I61" s="453" t="s">
        <v>1858</v>
      </c>
      <c r="J61" s="451"/>
      <c r="K61" s="452"/>
      <c r="L61" s="452"/>
      <c r="M61" s="451" t="s">
        <v>1859</v>
      </c>
    </row>
    <row r="62" spans="1:13" x14ac:dyDescent="0.25">
      <c r="A62" s="1" t="s">
        <v>1854</v>
      </c>
      <c r="B62" s="44" t="s">
        <v>361</v>
      </c>
      <c r="C62" s="44" t="s">
        <v>1868</v>
      </c>
      <c r="D62" s="44" t="s">
        <v>1861</v>
      </c>
      <c r="E62" s="203" t="s">
        <v>1857</v>
      </c>
      <c r="F62" s="203">
        <v>1550</v>
      </c>
      <c r="G62" s="203">
        <v>2300</v>
      </c>
      <c r="H62" s="140">
        <f t="shared" si="3"/>
        <v>3.5649999999999999</v>
      </c>
      <c r="I62" s="453" t="s">
        <v>1858</v>
      </c>
      <c r="J62" s="451"/>
      <c r="K62" s="452"/>
      <c r="L62" s="452"/>
      <c r="M62" s="451" t="s">
        <v>1859</v>
      </c>
    </row>
    <row r="63" spans="1:13" x14ac:dyDescent="0.25">
      <c r="A63" s="1" t="s">
        <v>1854</v>
      </c>
      <c r="B63" s="44" t="s">
        <v>361</v>
      </c>
      <c r="C63" s="44" t="s">
        <v>1870</v>
      </c>
      <c r="D63" s="44" t="s">
        <v>1861</v>
      </c>
      <c r="E63" s="203" t="s">
        <v>1857</v>
      </c>
      <c r="F63" s="203">
        <v>1550</v>
      </c>
      <c r="G63" s="203">
        <v>2300</v>
      </c>
      <c r="H63" s="140">
        <f t="shared" si="3"/>
        <v>3.5649999999999999</v>
      </c>
      <c r="I63" s="453" t="s">
        <v>1858</v>
      </c>
      <c r="J63" s="451"/>
      <c r="K63" s="452"/>
      <c r="L63" s="452"/>
      <c r="M63" s="451" t="s">
        <v>1859</v>
      </c>
    </row>
    <row r="64" spans="1:13" x14ac:dyDescent="0.25">
      <c r="A64" s="1" t="s">
        <v>1854</v>
      </c>
      <c r="B64" s="44" t="s">
        <v>361</v>
      </c>
      <c r="C64" s="44" t="s">
        <v>1868</v>
      </c>
      <c r="D64" s="44" t="s">
        <v>1861</v>
      </c>
      <c r="E64" s="203" t="s">
        <v>1857</v>
      </c>
      <c r="F64" s="203">
        <v>1550</v>
      </c>
      <c r="G64" s="203">
        <v>2300</v>
      </c>
      <c r="H64" s="140">
        <f t="shared" si="3"/>
        <v>3.5649999999999999</v>
      </c>
      <c r="I64" s="453" t="s">
        <v>1858</v>
      </c>
      <c r="J64" s="451"/>
      <c r="K64" s="452"/>
      <c r="L64" s="452"/>
      <c r="M64" s="451" t="s">
        <v>1859</v>
      </c>
    </row>
    <row r="65" spans="1:13" x14ac:dyDescent="0.25">
      <c r="A65" s="1" t="s">
        <v>1854</v>
      </c>
      <c r="B65" s="44" t="s">
        <v>361</v>
      </c>
      <c r="C65" s="44" t="s">
        <v>1868</v>
      </c>
      <c r="D65" s="44" t="s">
        <v>1861</v>
      </c>
      <c r="E65" s="203" t="s">
        <v>1857</v>
      </c>
      <c r="F65" s="203">
        <v>1550</v>
      </c>
      <c r="G65" s="203">
        <v>2300</v>
      </c>
      <c r="H65" s="140">
        <f t="shared" si="3"/>
        <v>3.5649999999999999</v>
      </c>
      <c r="I65" s="453" t="s">
        <v>1858</v>
      </c>
      <c r="J65" s="451"/>
      <c r="K65" s="452"/>
      <c r="L65" s="452"/>
      <c r="M65" s="451" t="s">
        <v>1859</v>
      </c>
    </row>
    <row r="66" spans="1:13" x14ac:dyDescent="0.25">
      <c r="A66" s="1" t="s">
        <v>1877</v>
      </c>
      <c r="B66" s="44" t="s">
        <v>361</v>
      </c>
      <c r="C66" s="44" t="s">
        <v>1878</v>
      </c>
      <c r="D66" s="44" t="s">
        <v>1856</v>
      </c>
      <c r="E66" s="203" t="s">
        <v>1857</v>
      </c>
      <c r="F66" s="203">
        <v>750</v>
      </c>
      <c r="G66" s="203">
        <v>2300</v>
      </c>
      <c r="H66" s="140">
        <f t="shared" si="3"/>
        <v>1.7249999999999999</v>
      </c>
      <c r="I66" s="453">
        <f>H66</f>
        <v>1.7249999999999999</v>
      </c>
      <c r="J66" s="451"/>
      <c r="K66" s="452"/>
      <c r="L66" s="452"/>
      <c r="M66" s="451" t="s">
        <v>1859</v>
      </c>
    </row>
    <row r="67" spans="1:13" x14ac:dyDescent="0.25">
      <c r="A67" s="1" t="s">
        <v>1877</v>
      </c>
      <c r="B67" s="44" t="s">
        <v>361</v>
      </c>
      <c r="C67" s="44" t="s">
        <v>1879</v>
      </c>
      <c r="D67" s="44" t="s">
        <v>1856</v>
      </c>
      <c r="E67" s="203" t="s">
        <v>1857</v>
      </c>
      <c r="F67" s="203">
        <v>1500</v>
      </c>
      <c r="G67" s="203">
        <v>10100</v>
      </c>
      <c r="H67" s="140">
        <f t="shared" si="3"/>
        <v>15.149999999999999</v>
      </c>
      <c r="I67" s="203">
        <f>3*1.5*2.3</f>
        <v>10.35</v>
      </c>
      <c r="J67" s="451"/>
      <c r="K67" s="452"/>
      <c r="L67" s="452"/>
      <c r="M67" s="451" t="s">
        <v>1859</v>
      </c>
    </row>
    <row r="68" spans="1:13" x14ac:dyDescent="0.25">
      <c r="A68" s="1" t="s">
        <v>1877</v>
      </c>
      <c r="B68" s="44" t="s">
        <v>361</v>
      </c>
      <c r="C68" s="44" t="s">
        <v>1880</v>
      </c>
      <c r="D68" s="44" t="s">
        <v>1856</v>
      </c>
      <c r="E68" s="203" t="s">
        <v>1857</v>
      </c>
      <c r="F68" s="203">
        <v>1800</v>
      </c>
      <c r="G68" s="203">
        <v>10100</v>
      </c>
      <c r="H68" s="140">
        <f t="shared" si="3"/>
        <v>18.18</v>
      </c>
      <c r="I68" s="203">
        <f>3*1.8*2.3</f>
        <v>12.42</v>
      </c>
      <c r="J68" s="451"/>
      <c r="K68" s="452"/>
      <c r="L68" s="452"/>
      <c r="M68" s="451" t="s">
        <v>1859</v>
      </c>
    </row>
    <row r="69" spans="1:13" x14ac:dyDescent="0.25">
      <c r="A69" s="1" t="s">
        <v>1877</v>
      </c>
      <c r="B69" s="44" t="s">
        <v>361</v>
      </c>
      <c r="C69" s="44" t="s">
        <v>1881</v>
      </c>
      <c r="D69" s="44" t="s">
        <v>1856</v>
      </c>
      <c r="E69" s="203" t="s">
        <v>1857</v>
      </c>
      <c r="F69" s="203">
        <v>1500</v>
      </c>
      <c r="G69" s="203">
        <v>10100</v>
      </c>
      <c r="H69" s="140">
        <f t="shared" si="3"/>
        <v>15.149999999999999</v>
      </c>
      <c r="I69" s="203">
        <f>3*1.5*2.3</f>
        <v>10.35</v>
      </c>
      <c r="J69" s="451"/>
      <c r="K69" s="452"/>
      <c r="L69" s="452"/>
      <c r="M69" s="451" t="s">
        <v>1859</v>
      </c>
    </row>
    <row r="70" spans="1:13" x14ac:dyDescent="0.25">
      <c r="A70" s="1" t="s">
        <v>1877</v>
      </c>
      <c r="B70" s="44" t="s">
        <v>361</v>
      </c>
      <c r="C70" s="44" t="s">
        <v>1882</v>
      </c>
      <c r="D70" s="44" t="s">
        <v>1856</v>
      </c>
      <c r="E70" s="203" t="s">
        <v>1857</v>
      </c>
      <c r="F70" s="203">
        <v>1800</v>
      </c>
      <c r="G70" s="203">
        <v>10100</v>
      </c>
      <c r="H70" s="140">
        <f t="shared" si="3"/>
        <v>18.18</v>
      </c>
      <c r="I70" s="203">
        <f>3*1.8*2.3</f>
        <v>12.42</v>
      </c>
      <c r="J70" s="451"/>
      <c r="K70" s="452"/>
      <c r="L70" s="452"/>
      <c r="M70" s="451" t="s">
        <v>1859</v>
      </c>
    </row>
    <row r="71" spans="1:13" x14ac:dyDescent="0.25">
      <c r="A71" s="1" t="s">
        <v>1877</v>
      </c>
      <c r="B71" s="44" t="s">
        <v>361</v>
      </c>
      <c r="C71" s="44" t="s">
        <v>1880</v>
      </c>
      <c r="D71" s="44" t="s">
        <v>1856</v>
      </c>
      <c r="E71" s="203" t="s">
        <v>1857</v>
      </c>
      <c r="F71" s="203">
        <v>1800</v>
      </c>
      <c r="G71" s="203">
        <v>10100</v>
      </c>
      <c r="H71" s="140">
        <f t="shared" si="3"/>
        <v>18.18</v>
      </c>
      <c r="I71" s="203">
        <f>3*1.8*2.3</f>
        <v>12.42</v>
      </c>
      <c r="J71" s="451"/>
      <c r="K71" s="452"/>
      <c r="L71" s="452"/>
      <c r="M71" s="451" t="s">
        <v>1859</v>
      </c>
    </row>
    <row r="72" spans="1:13" x14ac:dyDescent="0.25">
      <c r="A72" s="1" t="s">
        <v>1877</v>
      </c>
      <c r="B72" s="44" t="s">
        <v>361</v>
      </c>
      <c r="C72" s="44" t="s">
        <v>1883</v>
      </c>
      <c r="D72" s="44" t="s">
        <v>1856</v>
      </c>
      <c r="E72" s="203" t="s">
        <v>1857</v>
      </c>
      <c r="F72" s="203">
        <v>1500</v>
      </c>
      <c r="G72" s="203">
        <v>10100</v>
      </c>
      <c r="H72" s="140">
        <f t="shared" si="3"/>
        <v>15.149999999999999</v>
      </c>
      <c r="I72" s="203">
        <f>3*1.5*2.3</f>
        <v>10.35</v>
      </c>
      <c r="J72" s="451"/>
      <c r="K72" s="452"/>
      <c r="L72" s="452"/>
      <c r="M72" s="451" t="s">
        <v>1859</v>
      </c>
    </row>
    <row r="73" spans="1:13" x14ac:dyDescent="0.25">
      <c r="A73" s="1" t="s">
        <v>1877</v>
      </c>
      <c r="B73" s="44" t="s">
        <v>361</v>
      </c>
      <c r="C73" s="44" t="s">
        <v>1880</v>
      </c>
      <c r="D73" s="44" t="s">
        <v>1856</v>
      </c>
      <c r="E73" s="203" t="s">
        <v>1857</v>
      </c>
      <c r="F73" s="203">
        <v>1800</v>
      </c>
      <c r="G73" s="203">
        <v>10100</v>
      </c>
      <c r="H73" s="140">
        <f t="shared" si="3"/>
        <v>18.18</v>
      </c>
      <c r="I73" s="203">
        <f>3*1.8*2.3</f>
        <v>12.42</v>
      </c>
      <c r="J73" s="451"/>
      <c r="K73" s="452"/>
      <c r="L73" s="452"/>
      <c r="M73" s="451" t="s">
        <v>1859</v>
      </c>
    </row>
    <row r="74" spans="1:13" x14ac:dyDescent="0.25">
      <c r="A74" s="1" t="s">
        <v>1877</v>
      </c>
      <c r="B74" s="44" t="s">
        <v>361</v>
      </c>
      <c r="C74" s="44" t="s">
        <v>1884</v>
      </c>
      <c r="D74" s="44" t="s">
        <v>1856</v>
      </c>
      <c r="E74" s="203" t="s">
        <v>1857</v>
      </c>
      <c r="F74" s="203">
        <v>1800</v>
      </c>
      <c r="G74" s="203">
        <v>10100</v>
      </c>
      <c r="H74" s="140">
        <f t="shared" si="3"/>
        <v>18.18</v>
      </c>
      <c r="I74" s="203">
        <f>3*1.8*2.3</f>
        <v>12.42</v>
      </c>
      <c r="J74" s="451"/>
      <c r="K74" s="452"/>
      <c r="L74" s="452"/>
      <c r="M74" s="451" t="s">
        <v>1859</v>
      </c>
    </row>
    <row r="75" spans="1:13" x14ac:dyDescent="0.25">
      <c r="A75" s="1" t="s">
        <v>1877</v>
      </c>
      <c r="B75" s="44" t="s">
        <v>361</v>
      </c>
      <c r="C75" s="44" t="s">
        <v>1885</v>
      </c>
      <c r="D75" s="44" t="s">
        <v>1856</v>
      </c>
      <c r="E75" s="203" t="s">
        <v>1857</v>
      </c>
      <c r="F75" s="203">
        <v>1500</v>
      </c>
      <c r="G75" s="203">
        <v>10100</v>
      </c>
      <c r="H75" s="140">
        <f t="shared" si="3"/>
        <v>15.149999999999999</v>
      </c>
      <c r="I75" s="203">
        <f>3*1.5*2.3</f>
        <v>10.35</v>
      </c>
      <c r="J75" s="451"/>
      <c r="K75" s="452"/>
      <c r="L75" s="452"/>
      <c r="M75" s="451" t="s">
        <v>1859</v>
      </c>
    </row>
    <row r="76" spans="1:13" x14ac:dyDescent="0.25">
      <c r="A76" s="1" t="s">
        <v>1877</v>
      </c>
      <c r="B76" s="44" t="s">
        <v>361</v>
      </c>
      <c r="C76" s="44" t="s">
        <v>1886</v>
      </c>
      <c r="D76" s="44" t="s">
        <v>1856</v>
      </c>
      <c r="E76" s="203" t="s">
        <v>1857</v>
      </c>
      <c r="F76" s="203">
        <v>1800</v>
      </c>
      <c r="G76" s="203">
        <v>10100</v>
      </c>
      <c r="H76" s="140">
        <f t="shared" si="3"/>
        <v>18.18</v>
      </c>
      <c r="I76" s="203">
        <f>3*1.8*2.3</f>
        <v>12.42</v>
      </c>
      <c r="J76" s="451"/>
      <c r="K76" s="452"/>
      <c r="L76" s="452"/>
      <c r="M76" s="451" t="s">
        <v>1859</v>
      </c>
    </row>
    <row r="77" spans="1:13" x14ac:dyDescent="0.25">
      <c r="A77" s="1" t="s">
        <v>1877</v>
      </c>
      <c r="B77" s="44" t="s">
        <v>361</v>
      </c>
      <c r="C77" s="44" t="s">
        <v>1887</v>
      </c>
      <c r="D77" s="44" t="s">
        <v>1856</v>
      </c>
      <c r="E77" s="203" t="s">
        <v>1857</v>
      </c>
      <c r="F77" s="203">
        <v>1500</v>
      </c>
      <c r="G77" s="203">
        <v>10100</v>
      </c>
      <c r="H77" s="140">
        <f t="shared" si="3"/>
        <v>15.149999999999999</v>
      </c>
      <c r="I77" s="203">
        <f>3*1.5*2.3</f>
        <v>10.35</v>
      </c>
      <c r="J77" s="451"/>
      <c r="K77" s="452"/>
      <c r="L77" s="452"/>
      <c r="M77" s="451" t="s">
        <v>1859</v>
      </c>
    </row>
    <row r="78" spans="1:13" x14ac:dyDescent="0.25">
      <c r="A78" s="1" t="s">
        <v>1877</v>
      </c>
      <c r="B78" s="44" t="s">
        <v>361</v>
      </c>
      <c r="C78" s="44" t="s">
        <v>1881</v>
      </c>
      <c r="D78" s="44" t="s">
        <v>1866</v>
      </c>
      <c r="E78" s="203" t="s">
        <v>1857</v>
      </c>
      <c r="F78" s="203">
        <v>1500</v>
      </c>
      <c r="G78" s="203">
        <v>10100</v>
      </c>
      <c r="H78" s="140">
        <f t="shared" si="3"/>
        <v>15.149999999999999</v>
      </c>
      <c r="I78" s="203" t="s">
        <v>1858</v>
      </c>
      <c r="J78" s="451"/>
      <c r="K78" s="452"/>
      <c r="L78" s="452"/>
      <c r="M78" s="451" t="s">
        <v>1859</v>
      </c>
    </row>
    <row r="79" spans="1:13" x14ac:dyDescent="0.25">
      <c r="A79" s="1" t="s">
        <v>1877</v>
      </c>
      <c r="B79" s="44" t="s">
        <v>361</v>
      </c>
      <c r="C79" s="44" t="s">
        <v>1880</v>
      </c>
      <c r="D79" s="44" t="s">
        <v>1866</v>
      </c>
      <c r="E79" s="203" t="s">
        <v>1857</v>
      </c>
      <c r="F79" s="203">
        <v>1800</v>
      </c>
      <c r="G79" s="203">
        <v>10100</v>
      </c>
      <c r="H79" s="140">
        <f t="shared" si="3"/>
        <v>18.18</v>
      </c>
      <c r="I79" s="203" t="s">
        <v>1858</v>
      </c>
      <c r="J79" s="451"/>
      <c r="K79" s="452"/>
      <c r="L79" s="452"/>
      <c r="M79" s="451" t="s">
        <v>1859</v>
      </c>
    </row>
    <row r="80" spans="1:13" x14ac:dyDescent="0.25">
      <c r="A80" s="1" t="s">
        <v>1877</v>
      </c>
      <c r="B80" s="44" t="s">
        <v>361</v>
      </c>
      <c r="C80" s="44" t="s">
        <v>1888</v>
      </c>
      <c r="D80" s="44" t="s">
        <v>1866</v>
      </c>
      <c r="E80" s="203" t="s">
        <v>1857</v>
      </c>
      <c r="F80" s="203">
        <v>1800</v>
      </c>
      <c r="G80" s="203">
        <v>10100</v>
      </c>
      <c r="H80" s="140">
        <f t="shared" si="3"/>
        <v>18.18</v>
      </c>
      <c r="I80" s="203" t="s">
        <v>1858</v>
      </c>
      <c r="J80" s="451"/>
      <c r="K80" s="452"/>
      <c r="L80" s="452"/>
      <c r="M80" s="451" t="s">
        <v>1859</v>
      </c>
    </row>
    <row r="81" spans="1:13" x14ac:dyDescent="0.25">
      <c r="A81" s="1" t="s">
        <v>1877</v>
      </c>
      <c r="B81" s="44" t="s">
        <v>361</v>
      </c>
      <c r="C81" s="44" t="s">
        <v>1889</v>
      </c>
      <c r="D81" s="44" t="s">
        <v>1866</v>
      </c>
      <c r="E81" s="203" t="s">
        <v>1857</v>
      </c>
      <c r="F81" s="203">
        <v>1500</v>
      </c>
      <c r="G81" s="203">
        <v>10100</v>
      </c>
      <c r="H81" s="140">
        <f t="shared" si="3"/>
        <v>15.149999999999999</v>
      </c>
      <c r="I81" s="203" t="s">
        <v>1858</v>
      </c>
      <c r="J81" s="451"/>
      <c r="K81" s="452"/>
      <c r="L81" s="452"/>
      <c r="M81" s="451" t="s">
        <v>1859</v>
      </c>
    </row>
    <row r="82" spans="1:13" x14ac:dyDescent="0.25">
      <c r="A82" s="1" t="s">
        <v>1877</v>
      </c>
      <c r="B82" s="44" t="s">
        <v>361</v>
      </c>
      <c r="C82" s="44" t="s">
        <v>1868</v>
      </c>
      <c r="D82" s="44" t="s">
        <v>1869</v>
      </c>
      <c r="E82" s="203" t="s">
        <v>1857</v>
      </c>
      <c r="F82" s="203">
        <v>1550</v>
      </c>
      <c r="G82" s="203">
        <v>2300</v>
      </c>
      <c r="H82" s="140">
        <f t="shared" si="3"/>
        <v>3.5649999999999999</v>
      </c>
      <c r="I82" s="453" t="s">
        <v>1858</v>
      </c>
      <c r="J82" s="451"/>
      <c r="K82" s="452"/>
      <c r="L82" s="452"/>
      <c r="M82" s="451" t="s">
        <v>1859</v>
      </c>
    </row>
    <row r="83" spans="1:13" x14ac:dyDescent="0.25">
      <c r="A83" s="1" t="s">
        <v>1877</v>
      </c>
      <c r="B83" s="44" t="s">
        <v>361</v>
      </c>
      <c r="C83" s="44" t="s">
        <v>1890</v>
      </c>
      <c r="D83" s="44" t="s">
        <v>1866</v>
      </c>
      <c r="E83" s="203" t="s">
        <v>1857</v>
      </c>
      <c r="F83" s="203">
        <v>1550</v>
      </c>
      <c r="G83" s="203">
        <v>2300</v>
      </c>
      <c r="H83" s="140">
        <f t="shared" si="3"/>
        <v>3.5649999999999999</v>
      </c>
      <c r="I83" s="453" t="s">
        <v>1858</v>
      </c>
      <c r="J83" s="451"/>
      <c r="K83" s="452"/>
      <c r="L83" s="452"/>
      <c r="M83" s="451" t="s">
        <v>1859</v>
      </c>
    </row>
    <row r="84" spans="1:13" x14ac:dyDescent="0.25">
      <c r="A84" s="1" t="s">
        <v>1877</v>
      </c>
      <c r="B84" s="44" t="s">
        <v>361</v>
      </c>
      <c r="C84" s="44" t="s">
        <v>1890</v>
      </c>
      <c r="D84" s="44" t="s">
        <v>1866</v>
      </c>
      <c r="E84" s="203" t="s">
        <v>1857</v>
      </c>
      <c r="F84" s="203">
        <v>1550</v>
      </c>
      <c r="G84" s="203">
        <v>2300</v>
      </c>
      <c r="H84" s="140">
        <f t="shared" si="3"/>
        <v>3.5649999999999999</v>
      </c>
      <c r="I84" s="453" t="s">
        <v>1858</v>
      </c>
      <c r="J84" s="451"/>
      <c r="K84" s="452"/>
      <c r="L84" s="452"/>
      <c r="M84" s="451" t="s">
        <v>1859</v>
      </c>
    </row>
    <row r="85" spans="1:13" x14ac:dyDescent="0.25">
      <c r="A85" s="1" t="s">
        <v>1877</v>
      </c>
      <c r="B85" s="44" t="s">
        <v>361</v>
      </c>
      <c r="C85" s="44" t="s">
        <v>1871</v>
      </c>
      <c r="D85" s="44" t="s">
        <v>1866</v>
      </c>
      <c r="E85" s="203" t="s">
        <v>1857</v>
      </c>
      <c r="F85" s="203">
        <v>1550</v>
      </c>
      <c r="G85" s="203">
        <v>2300</v>
      </c>
      <c r="H85" s="140">
        <f t="shared" si="3"/>
        <v>3.5649999999999999</v>
      </c>
      <c r="I85" s="453" t="s">
        <v>1858</v>
      </c>
      <c r="J85" s="451"/>
      <c r="K85" s="452"/>
      <c r="L85" s="452"/>
      <c r="M85" s="451" t="s">
        <v>1859</v>
      </c>
    </row>
    <row r="86" spans="1:13" x14ac:dyDescent="0.25">
      <c r="A86" s="1" t="s">
        <v>1877</v>
      </c>
      <c r="B86" s="44" t="s">
        <v>361</v>
      </c>
      <c r="C86" s="44" t="s">
        <v>1868</v>
      </c>
      <c r="D86" s="44" t="s">
        <v>1866</v>
      </c>
      <c r="E86" s="203" t="s">
        <v>1857</v>
      </c>
      <c r="F86" s="203">
        <v>1550</v>
      </c>
      <c r="G86" s="203">
        <v>2300</v>
      </c>
      <c r="H86" s="140">
        <f t="shared" si="3"/>
        <v>3.5649999999999999</v>
      </c>
      <c r="I86" s="453" t="s">
        <v>1858</v>
      </c>
      <c r="J86" s="451"/>
      <c r="K86" s="452"/>
      <c r="L86" s="452"/>
      <c r="M86" s="451" t="s">
        <v>1859</v>
      </c>
    </row>
    <row r="87" spans="1:13" x14ac:dyDescent="0.25">
      <c r="A87" s="1" t="s">
        <v>1877</v>
      </c>
      <c r="B87" s="44" t="s">
        <v>361</v>
      </c>
      <c r="C87" s="44" t="s">
        <v>1868</v>
      </c>
      <c r="D87" s="44" t="s">
        <v>1866</v>
      </c>
      <c r="E87" s="203" t="s">
        <v>1857</v>
      </c>
      <c r="F87" s="203">
        <v>1550</v>
      </c>
      <c r="G87" s="203">
        <v>2300</v>
      </c>
      <c r="H87" s="140">
        <f t="shared" si="3"/>
        <v>3.5649999999999999</v>
      </c>
      <c r="I87" s="453" t="s">
        <v>1858</v>
      </c>
      <c r="J87" s="451"/>
      <c r="K87" s="452"/>
      <c r="L87" s="452"/>
      <c r="M87" s="451" t="s">
        <v>1859</v>
      </c>
    </row>
    <row r="88" spans="1:13" x14ac:dyDescent="0.25">
      <c r="A88" s="1" t="s">
        <v>1877</v>
      </c>
      <c r="B88" s="44" t="s">
        <v>278</v>
      </c>
      <c r="C88" s="44" t="s">
        <v>1891</v>
      </c>
      <c r="D88" s="44" t="s">
        <v>1866</v>
      </c>
      <c r="E88" s="203" t="s">
        <v>1857</v>
      </c>
      <c r="F88" s="203">
        <v>5250</v>
      </c>
      <c r="G88" s="203">
        <v>2300</v>
      </c>
      <c r="H88" s="140">
        <f t="shared" si="3"/>
        <v>12.074999999999999</v>
      </c>
      <c r="I88" s="203" t="s">
        <v>1858</v>
      </c>
      <c r="J88" s="451"/>
      <c r="K88" s="452"/>
      <c r="L88" s="452"/>
      <c r="M88" s="451" t="s">
        <v>1859</v>
      </c>
    </row>
    <row r="89" spans="1:13" x14ac:dyDescent="0.25">
      <c r="A89" s="1" t="s">
        <v>1877</v>
      </c>
      <c r="B89" s="44" t="s">
        <v>278</v>
      </c>
      <c r="C89" s="44" t="s">
        <v>1892</v>
      </c>
      <c r="D89" s="44" t="s">
        <v>1866</v>
      </c>
      <c r="E89" s="203" t="s">
        <v>1857</v>
      </c>
      <c r="F89" s="203">
        <v>5250</v>
      </c>
      <c r="G89" s="203">
        <v>2300</v>
      </c>
      <c r="H89" s="140">
        <f t="shared" si="3"/>
        <v>12.074999999999999</v>
      </c>
      <c r="I89" s="203" t="s">
        <v>1858</v>
      </c>
      <c r="J89" s="451"/>
      <c r="K89" s="452"/>
      <c r="L89" s="452"/>
      <c r="M89" s="451" t="s">
        <v>1859</v>
      </c>
    </row>
    <row r="90" spans="1:13" x14ac:dyDescent="0.25">
      <c r="A90" s="1" t="s">
        <v>1877</v>
      </c>
      <c r="B90" s="44" t="s">
        <v>278</v>
      </c>
      <c r="C90" s="44" t="s">
        <v>1891</v>
      </c>
      <c r="D90" s="44" t="s">
        <v>1866</v>
      </c>
      <c r="E90" s="203" t="s">
        <v>1857</v>
      </c>
      <c r="F90" s="203">
        <v>5250</v>
      </c>
      <c r="G90" s="203">
        <v>2300</v>
      </c>
      <c r="H90" s="140">
        <f t="shared" si="3"/>
        <v>12.074999999999999</v>
      </c>
      <c r="I90" s="203" t="s">
        <v>1858</v>
      </c>
      <c r="J90" s="451"/>
      <c r="K90" s="452"/>
      <c r="L90" s="452"/>
      <c r="M90" s="451" t="s">
        <v>1859</v>
      </c>
    </row>
    <row r="91" spans="1:13" x14ac:dyDescent="0.25">
      <c r="A91" s="1" t="s">
        <v>1877</v>
      </c>
      <c r="B91" s="44" t="s">
        <v>228</v>
      </c>
      <c r="C91" s="44" t="s">
        <v>1868</v>
      </c>
      <c r="D91" s="44" t="s">
        <v>1866</v>
      </c>
      <c r="E91" s="203" t="s">
        <v>1857</v>
      </c>
      <c r="F91" s="203">
        <v>1550</v>
      </c>
      <c r="G91" s="203">
        <v>2300</v>
      </c>
      <c r="H91" s="140">
        <f t="shared" si="3"/>
        <v>3.5649999999999999</v>
      </c>
      <c r="I91" s="453" t="s">
        <v>1858</v>
      </c>
      <c r="J91" s="451"/>
      <c r="K91" s="452"/>
      <c r="L91" s="452"/>
      <c r="M91" s="451" t="s">
        <v>1859</v>
      </c>
    </row>
    <row r="92" spans="1:13" x14ac:dyDescent="0.25">
      <c r="A92" s="1" t="s">
        <v>1877</v>
      </c>
      <c r="B92" s="44" t="s">
        <v>228</v>
      </c>
      <c r="C92" s="44" t="s">
        <v>1868</v>
      </c>
      <c r="D92" s="44" t="s">
        <v>1866</v>
      </c>
      <c r="E92" s="203" t="s">
        <v>1857</v>
      </c>
      <c r="F92" s="203">
        <v>1550</v>
      </c>
      <c r="G92" s="203">
        <v>2300</v>
      </c>
      <c r="H92" s="140">
        <f t="shared" si="3"/>
        <v>3.5649999999999999</v>
      </c>
      <c r="I92" s="453" t="s">
        <v>1858</v>
      </c>
      <c r="J92" s="451"/>
      <c r="K92" s="452"/>
      <c r="L92" s="452"/>
      <c r="M92" s="451" t="s">
        <v>1859</v>
      </c>
    </row>
    <row r="93" spans="1:13" x14ac:dyDescent="0.25">
      <c r="A93" s="1" t="s">
        <v>1877</v>
      </c>
      <c r="B93" s="44" t="s">
        <v>228</v>
      </c>
      <c r="C93" s="44" t="s">
        <v>1871</v>
      </c>
      <c r="D93" s="44" t="s">
        <v>1866</v>
      </c>
      <c r="E93" s="203" t="s">
        <v>1857</v>
      </c>
      <c r="F93" s="203">
        <v>1550</v>
      </c>
      <c r="G93" s="203">
        <v>2300</v>
      </c>
      <c r="H93" s="140">
        <f t="shared" si="3"/>
        <v>3.5649999999999999</v>
      </c>
      <c r="I93" s="453" t="s">
        <v>1858</v>
      </c>
      <c r="J93" s="451"/>
      <c r="K93" s="452"/>
      <c r="L93" s="452"/>
      <c r="M93" s="451" t="s">
        <v>1859</v>
      </c>
    </row>
    <row r="94" spans="1:13" x14ac:dyDescent="0.25">
      <c r="A94" s="1" t="s">
        <v>1877</v>
      </c>
      <c r="B94" s="44" t="s">
        <v>228</v>
      </c>
      <c r="C94" s="44" t="s">
        <v>1868</v>
      </c>
      <c r="D94" s="44" t="s">
        <v>1866</v>
      </c>
      <c r="E94" s="203" t="s">
        <v>1857</v>
      </c>
      <c r="F94" s="203">
        <v>1550</v>
      </c>
      <c r="G94" s="203">
        <v>2300</v>
      </c>
      <c r="H94" s="140">
        <f t="shared" si="3"/>
        <v>3.5649999999999999</v>
      </c>
      <c r="I94" s="453" t="s">
        <v>1858</v>
      </c>
      <c r="J94" s="451"/>
      <c r="K94" s="452"/>
      <c r="L94" s="452"/>
      <c r="M94" s="451" t="s">
        <v>1859</v>
      </c>
    </row>
    <row r="95" spans="1:13" x14ac:dyDescent="0.25">
      <c r="A95" s="1" t="s">
        <v>1877</v>
      </c>
      <c r="B95" s="44" t="s">
        <v>228</v>
      </c>
      <c r="C95" s="44" t="s">
        <v>1868</v>
      </c>
      <c r="D95" s="44" t="s">
        <v>1866</v>
      </c>
      <c r="E95" s="203" t="s">
        <v>1857</v>
      </c>
      <c r="F95" s="203">
        <v>1550</v>
      </c>
      <c r="G95" s="203">
        <v>2300</v>
      </c>
      <c r="H95" s="140">
        <f t="shared" si="3"/>
        <v>3.5649999999999999</v>
      </c>
      <c r="I95" s="453" t="s">
        <v>1858</v>
      </c>
      <c r="J95" s="451"/>
      <c r="K95" s="452"/>
      <c r="L95" s="452"/>
      <c r="M95" s="451" t="s">
        <v>1859</v>
      </c>
    </row>
    <row r="96" spans="1:13" x14ac:dyDescent="0.25">
      <c r="A96" s="1" t="s">
        <v>1877</v>
      </c>
      <c r="B96" s="44" t="s">
        <v>228</v>
      </c>
      <c r="C96" s="44" t="s">
        <v>1868</v>
      </c>
      <c r="D96" s="44" t="s">
        <v>1856</v>
      </c>
      <c r="E96" s="203" t="s">
        <v>1857</v>
      </c>
      <c r="F96" s="203">
        <v>1550</v>
      </c>
      <c r="G96" s="203">
        <v>2300</v>
      </c>
      <c r="H96" s="140">
        <f t="shared" si="3"/>
        <v>3.5649999999999999</v>
      </c>
      <c r="I96" s="453" t="s">
        <v>1858</v>
      </c>
      <c r="J96" s="451"/>
      <c r="K96" s="452"/>
      <c r="L96" s="452"/>
      <c r="M96" s="451" t="s">
        <v>1859</v>
      </c>
    </row>
    <row r="97" spans="1:13" x14ac:dyDescent="0.25">
      <c r="A97" s="1" t="s">
        <v>1877</v>
      </c>
      <c r="B97" s="44" t="s">
        <v>228</v>
      </c>
      <c r="C97" s="44" t="s">
        <v>1881</v>
      </c>
      <c r="D97" s="44" t="s">
        <v>1866</v>
      </c>
      <c r="E97" s="203" t="s">
        <v>1857</v>
      </c>
      <c r="F97" s="203">
        <v>1500</v>
      </c>
      <c r="G97" s="203">
        <v>10100</v>
      </c>
      <c r="H97" s="140">
        <f t="shared" si="3"/>
        <v>15.149999999999999</v>
      </c>
      <c r="I97" s="203" t="s">
        <v>1858</v>
      </c>
      <c r="J97" s="451"/>
      <c r="K97" s="452"/>
      <c r="L97" s="452"/>
      <c r="M97" s="451" t="s">
        <v>1859</v>
      </c>
    </row>
    <row r="98" spans="1:13" x14ac:dyDescent="0.25">
      <c r="A98" s="1" t="s">
        <v>1877</v>
      </c>
      <c r="B98" s="44" t="s">
        <v>228</v>
      </c>
      <c r="C98" s="44" t="s">
        <v>1893</v>
      </c>
      <c r="D98" s="44" t="s">
        <v>1866</v>
      </c>
      <c r="E98" s="203" t="s">
        <v>1857</v>
      </c>
      <c r="F98" s="203">
        <v>1800</v>
      </c>
      <c r="G98" s="203">
        <v>10100</v>
      </c>
      <c r="H98" s="140">
        <f t="shared" si="3"/>
        <v>18.18</v>
      </c>
      <c r="I98" s="203" t="s">
        <v>1858</v>
      </c>
      <c r="J98" s="451"/>
      <c r="K98" s="452"/>
      <c r="L98" s="452"/>
      <c r="M98" s="451" t="s">
        <v>1859</v>
      </c>
    </row>
    <row r="99" spans="1:13" x14ac:dyDescent="0.25">
      <c r="A99" s="1" t="s">
        <v>1877</v>
      </c>
      <c r="B99" s="44" t="s">
        <v>228</v>
      </c>
      <c r="C99" s="44" t="s">
        <v>1880</v>
      </c>
      <c r="D99" s="44" t="s">
        <v>1866</v>
      </c>
      <c r="E99" s="203" t="s">
        <v>1857</v>
      </c>
      <c r="F99" s="203">
        <v>1800</v>
      </c>
      <c r="G99" s="203">
        <v>10100</v>
      </c>
      <c r="H99" s="140">
        <f t="shared" si="3"/>
        <v>18.18</v>
      </c>
      <c r="I99" s="203" t="s">
        <v>1858</v>
      </c>
      <c r="J99" s="451"/>
      <c r="K99" s="452"/>
      <c r="L99" s="452"/>
      <c r="M99" s="451" t="s">
        <v>1859</v>
      </c>
    </row>
    <row r="100" spans="1:13" x14ac:dyDescent="0.25">
      <c r="A100" s="1" t="s">
        <v>1877</v>
      </c>
      <c r="B100" s="44" t="s">
        <v>228</v>
      </c>
      <c r="C100" s="44" t="s">
        <v>1883</v>
      </c>
      <c r="D100" s="44" t="s">
        <v>1866</v>
      </c>
      <c r="E100" s="203" t="s">
        <v>1857</v>
      </c>
      <c r="F100" s="203">
        <v>1500</v>
      </c>
      <c r="G100" s="203">
        <v>10100</v>
      </c>
      <c r="H100" s="140">
        <f t="shared" si="3"/>
        <v>15.149999999999999</v>
      </c>
      <c r="I100" s="203" t="s">
        <v>1858</v>
      </c>
      <c r="J100" s="451"/>
      <c r="K100" s="452"/>
      <c r="L100" s="452"/>
      <c r="M100" s="451" t="s">
        <v>1859</v>
      </c>
    </row>
    <row r="101" spans="1:13" x14ac:dyDescent="0.25">
      <c r="A101" s="1" t="s">
        <v>1877</v>
      </c>
      <c r="B101" s="44" t="s">
        <v>228</v>
      </c>
      <c r="C101" s="44" t="s">
        <v>1894</v>
      </c>
      <c r="D101" s="44" t="s">
        <v>1869</v>
      </c>
      <c r="E101" s="203" t="s">
        <v>1857</v>
      </c>
      <c r="F101" s="203">
        <v>1500</v>
      </c>
      <c r="G101" s="203">
        <v>10100</v>
      </c>
      <c r="H101" s="140">
        <f t="shared" si="3"/>
        <v>15.149999999999999</v>
      </c>
      <c r="I101" s="203" t="s">
        <v>1858</v>
      </c>
      <c r="J101" s="451"/>
      <c r="K101" s="452"/>
      <c r="L101" s="452"/>
      <c r="M101" s="451" t="s">
        <v>1859</v>
      </c>
    </row>
    <row r="102" spans="1:13" x14ac:dyDescent="0.25">
      <c r="A102" s="1" t="s">
        <v>1877</v>
      </c>
      <c r="B102" s="44" t="s">
        <v>228</v>
      </c>
      <c r="C102" s="44" t="s">
        <v>1895</v>
      </c>
      <c r="D102" s="44" t="s">
        <v>1869</v>
      </c>
      <c r="E102" s="203" t="s">
        <v>1857</v>
      </c>
      <c r="F102" s="203">
        <v>1800</v>
      </c>
      <c r="G102" s="203">
        <v>10100</v>
      </c>
      <c r="H102" s="140">
        <f t="shared" si="3"/>
        <v>18.18</v>
      </c>
      <c r="I102" s="203" t="s">
        <v>1858</v>
      </c>
      <c r="J102" s="451"/>
      <c r="K102" s="452"/>
      <c r="L102" s="452"/>
      <c r="M102" s="451" t="s">
        <v>1859</v>
      </c>
    </row>
    <row r="103" spans="1:13" x14ac:dyDescent="0.25">
      <c r="A103" s="1" t="s">
        <v>1877</v>
      </c>
      <c r="B103" s="44" t="s">
        <v>228</v>
      </c>
      <c r="C103" s="44" t="s">
        <v>1880</v>
      </c>
      <c r="D103" s="44" t="s">
        <v>1869</v>
      </c>
      <c r="E103" s="203" t="s">
        <v>1857</v>
      </c>
      <c r="F103" s="203">
        <v>1800</v>
      </c>
      <c r="G103" s="203">
        <v>10100</v>
      </c>
      <c r="H103" s="140">
        <f t="shared" si="3"/>
        <v>18.18</v>
      </c>
      <c r="I103" s="203" t="s">
        <v>1858</v>
      </c>
      <c r="J103" s="451"/>
      <c r="K103" s="452"/>
      <c r="L103" s="452"/>
      <c r="M103" s="451" t="s">
        <v>1859</v>
      </c>
    </row>
    <row r="104" spans="1:13" x14ac:dyDescent="0.25">
      <c r="A104" s="1" t="s">
        <v>1877</v>
      </c>
      <c r="B104" s="44" t="s">
        <v>228</v>
      </c>
      <c r="C104" s="44" t="s">
        <v>1880</v>
      </c>
      <c r="D104" s="44" t="s">
        <v>1869</v>
      </c>
      <c r="E104" s="203" t="s">
        <v>1857</v>
      </c>
      <c r="F104" s="203">
        <v>1800</v>
      </c>
      <c r="G104" s="203">
        <v>10100</v>
      </c>
      <c r="H104" s="140">
        <f t="shared" si="3"/>
        <v>18.18</v>
      </c>
      <c r="I104" s="203" t="s">
        <v>1858</v>
      </c>
      <c r="J104" s="451"/>
      <c r="K104" s="452"/>
      <c r="L104" s="452"/>
      <c r="M104" s="451" t="s">
        <v>1859</v>
      </c>
    </row>
    <row r="105" spans="1:13" x14ac:dyDescent="0.25">
      <c r="A105" s="1" t="s">
        <v>1877</v>
      </c>
      <c r="B105" s="44" t="s">
        <v>228</v>
      </c>
      <c r="C105" s="44" t="s">
        <v>1894</v>
      </c>
      <c r="D105" s="44" t="s">
        <v>1869</v>
      </c>
      <c r="E105" s="203" t="s">
        <v>1857</v>
      </c>
      <c r="F105" s="203">
        <v>1500</v>
      </c>
      <c r="G105" s="203">
        <v>10100</v>
      </c>
      <c r="H105" s="140">
        <f t="shared" si="3"/>
        <v>15.149999999999999</v>
      </c>
      <c r="I105" s="203" t="s">
        <v>1858</v>
      </c>
      <c r="J105" s="451"/>
      <c r="K105" s="452"/>
      <c r="L105" s="452"/>
      <c r="M105" s="451" t="s">
        <v>1859</v>
      </c>
    </row>
    <row r="106" spans="1:13" x14ac:dyDescent="0.25">
      <c r="A106" s="1" t="s">
        <v>1877</v>
      </c>
      <c r="B106" s="44" t="s">
        <v>228</v>
      </c>
      <c r="C106" s="44" t="s">
        <v>1880</v>
      </c>
      <c r="D106" s="44" t="s">
        <v>1869</v>
      </c>
      <c r="E106" s="203" t="s">
        <v>1857</v>
      </c>
      <c r="F106" s="203">
        <v>1800</v>
      </c>
      <c r="G106" s="203">
        <v>10100</v>
      </c>
      <c r="H106" s="140">
        <f t="shared" si="3"/>
        <v>18.18</v>
      </c>
      <c r="I106" s="203" t="s">
        <v>1858</v>
      </c>
      <c r="J106" s="451"/>
      <c r="K106" s="452"/>
      <c r="L106" s="452"/>
      <c r="M106" s="451" t="s">
        <v>1859</v>
      </c>
    </row>
    <row r="107" spans="1:13" x14ac:dyDescent="0.25">
      <c r="A107" s="1" t="s">
        <v>1877</v>
      </c>
      <c r="B107" s="44" t="s">
        <v>228</v>
      </c>
      <c r="C107" s="44" t="s">
        <v>1882</v>
      </c>
      <c r="D107" s="44" t="s">
        <v>1869</v>
      </c>
      <c r="E107" s="203" t="s">
        <v>1857</v>
      </c>
      <c r="F107" s="203">
        <v>1800</v>
      </c>
      <c r="G107" s="203">
        <v>10100</v>
      </c>
      <c r="H107" s="140">
        <f t="shared" si="3"/>
        <v>18.18</v>
      </c>
      <c r="I107" s="203" t="s">
        <v>1858</v>
      </c>
      <c r="J107" s="451"/>
      <c r="K107" s="452"/>
      <c r="L107" s="452"/>
      <c r="M107" s="451" t="s">
        <v>1859</v>
      </c>
    </row>
    <row r="108" spans="1:13" x14ac:dyDescent="0.25">
      <c r="A108" s="1" t="s">
        <v>1877</v>
      </c>
      <c r="B108" s="44" t="s">
        <v>228</v>
      </c>
      <c r="C108" s="44" t="s">
        <v>1883</v>
      </c>
      <c r="D108" s="44" t="s">
        <v>1869</v>
      </c>
      <c r="E108" s="203" t="s">
        <v>1857</v>
      </c>
      <c r="F108" s="203">
        <v>1500</v>
      </c>
      <c r="G108" s="203">
        <v>10100</v>
      </c>
      <c r="H108" s="140">
        <f t="shared" si="3"/>
        <v>15.149999999999999</v>
      </c>
      <c r="I108" s="203" t="s">
        <v>1858</v>
      </c>
      <c r="J108" s="451"/>
      <c r="K108" s="452"/>
      <c r="L108" s="452"/>
      <c r="M108" s="451" t="s">
        <v>1859</v>
      </c>
    </row>
    <row r="109" spans="1:13" x14ac:dyDescent="0.25">
      <c r="A109" s="1" t="s">
        <v>1877</v>
      </c>
      <c r="B109" s="44" t="s">
        <v>228</v>
      </c>
      <c r="C109" s="44" t="s">
        <v>1896</v>
      </c>
      <c r="D109" s="44" t="s">
        <v>1869</v>
      </c>
      <c r="E109" s="203" t="s">
        <v>1857</v>
      </c>
      <c r="F109" s="203">
        <v>1800</v>
      </c>
      <c r="G109" s="203">
        <v>10100</v>
      </c>
      <c r="H109" s="140">
        <f t="shared" si="3"/>
        <v>18.18</v>
      </c>
      <c r="I109" s="203" t="s">
        <v>1858</v>
      </c>
      <c r="J109" s="451"/>
      <c r="K109" s="452"/>
      <c r="L109" s="452"/>
      <c r="M109" s="451" t="s">
        <v>1859</v>
      </c>
    </row>
    <row r="110" spans="1:13" x14ac:dyDescent="0.25">
      <c r="A110" s="1" t="s">
        <v>1877</v>
      </c>
      <c r="B110" s="44" t="s">
        <v>228</v>
      </c>
      <c r="C110" s="44" t="s">
        <v>1883</v>
      </c>
      <c r="D110" s="44" t="s">
        <v>1869</v>
      </c>
      <c r="E110" s="203" t="s">
        <v>1857</v>
      </c>
      <c r="F110" s="203">
        <v>1500</v>
      </c>
      <c r="G110" s="203">
        <v>10100</v>
      </c>
      <c r="H110" s="140">
        <f t="shared" ref="H110:H173" si="4">F110*G110*0.000001</f>
        <v>15.149999999999999</v>
      </c>
      <c r="I110" s="203" t="s">
        <v>1858</v>
      </c>
      <c r="J110" s="451"/>
      <c r="K110" s="452"/>
      <c r="L110" s="452"/>
      <c r="M110" s="451" t="s">
        <v>1859</v>
      </c>
    </row>
    <row r="111" spans="1:13" x14ac:dyDescent="0.25">
      <c r="A111" s="1" t="s">
        <v>1877</v>
      </c>
      <c r="B111" s="44" t="s">
        <v>228</v>
      </c>
      <c r="C111" s="44" t="s">
        <v>1878</v>
      </c>
      <c r="D111" s="44" t="s">
        <v>1856</v>
      </c>
      <c r="E111" s="203" t="s">
        <v>1857</v>
      </c>
      <c r="F111" s="203">
        <v>750</v>
      </c>
      <c r="G111" s="203">
        <v>2300</v>
      </c>
      <c r="H111" s="140">
        <f t="shared" si="4"/>
        <v>1.7249999999999999</v>
      </c>
      <c r="I111" s="453" t="s">
        <v>1858</v>
      </c>
      <c r="J111" s="451"/>
      <c r="K111" s="452"/>
      <c r="L111" s="452"/>
      <c r="M111" s="451" t="s">
        <v>1859</v>
      </c>
    </row>
    <row r="112" spans="1:13" x14ac:dyDescent="0.25">
      <c r="A112" s="1" t="s">
        <v>1877</v>
      </c>
      <c r="B112" s="44" t="s">
        <v>361</v>
      </c>
      <c r="C112" s="44" t="s">
        <v>1868</v>
      </c>
      <c r="D112" s="44" t="s">
        <v>1861</v>
      </c>
      <c r="E112" s="203" t="s">
        <v>1857</v>
      </c>
      <c r="F112" s="203">
        <v>1550</v>
      </c>
      <c r="G112" s="203">
        <v>2300</v>
      </c>
      <c r="H112" s="140">
        <f t="shared" si="4"/>
        <v>3.5649999999999999</v>
      </c>
      <c r="I112" s="453" t="s">
        <v>1858</v>
      </c>
      <c r="J112" s="451"/>
      <c r="K112" s="452"/>
      <c r="L112" s="452"/>
      <c r="M112" s="451" t="s">
        <v>1859</v>
      </c>
    </row>
    <row r="113" spans="1:13" x14ac:dyDescent="0.25">
      <c r="A113" s="1" t="s">
        <v>1877</v>
      </c>
      <c r="B113" s="44" t="s">
        <v>361</v>
      </c>
      <c r="C113" s="44" t="s">
        <v>1868</v>
      </c>
      <c r="D113" s="44" t="s">
        <v>1861</v>
      </c>
      <c r="E113" s="203" t="s">
        <v>1857</v>
      </c>
      <c r="F113" s="203">
        <v>1550</v>
      </c>
      <c r="G113" s="203">
        <v>2300</v>
      </c>
      <c r="H113" s="140">
        <f t="shared" si="4"/>
        <v>3.5649999999999999</v>
      </c>
      <c r="I113" s="453" t="s">
        <v>1858</v>
      </c>
      <c r="J113" s="451"/>
      <c r="K113" s="452"/>
      <c r="L113" s="452"/>
      <c r="M113" s="451" t="s">
        <v>1859</v>
      </c>
    </row>
    <row r="114" spans="1:13" x14ac:dyDescent="0.25">
      <c r="A114" s="1" t="s">
        <v>1877</v>
      </c>
      <c r="B114" s="44" t="s">
        <v>361</v>
      </c>
      <c r="C114" s="44" t="s">
        <v>1868</v>
      </c>
      <c r="D114" s="44" t="s">
        <v>1861</v>
      </c>
      <c r="E114" s="203" t="s">
        <v>1857</v>
      </c>
      <c r="F114" s="203">
        <v>1550</v>
      </c>
      <c r="G114" s="203">
        <v>2300</v>
      </c>
      <c r="H114" s="140">
        <f t="shared" si="4"/>
        <v>3.5649999999999999</v>
      </c>
      <c r="I114" s="453" t="s">
        <v>1858</v>
      </c>
      <c r="J114" s="451"/>
      <c r="K114" s="452"/>
      <c r="L114" s="452"/>
      <c r="M114" s="451" t="s">
        <v>1859</v>
      </c>
    </row>
    <row r="115" spans="1:13" x14ac:dyDescent="0.25">
      <c r="A115" s="1" t="s">
        <v>1877</v>
      </c>
      <c r="B115" s="44" t="s">
        <v>361</v>
      </c>
      <c r="C115" s="44" t="s">
        <v>1868</v>
      </c>
      <c r="D115" s="44" t="s">
        <v>1861</v>
      </c>
      <c r="E115" s="203" t="s">
        <v>1857</v>
      </c>
      <c r="F115" s="203">
        <v>1550</v>
      </c>
      <c r="G115" s="203">
        <v>2300</v>
      </c>
      <c r="H115" s="140">
        <f t="shared" si="4"/>
        <v>3.5649999999999999</v>
      </c>
      <c r="I115" s="453" t="s">
        <v>1858</v>
      </c>
      <c r="J115" s="451"/>
      <c r="K115" s="452"/>
      <c r="L115" s="452"/>
      <c r="M115" s="451" t="s">
        <v>1859</v>
      </c>
    </row>
    <row r="116" spans="1:13" x14ac:dyDescent="0.25">
      <c r="A116" s="1" t="s">
        <v>1877</v>
      </c>
      <c r="B116" s="44" t="s">
        <v>361</v>
      </c>
      <c r="C116" s="44" t="s">
        <v>1868</v>
      </c>
      <c r="D116" s="44" t="s">
        <v>1861</v>
      </c>
      <c r="E116" s="203" t="s">
        <v>1857</v>
      </c>
      <c r="F116" s="203">
        <v>1550</v>
      </c>
      <c r="G116" s="203">
        <v>2300</v>
      </c>
      <c r="H116" s="140">
        <f t="shared" si="4"/>
        <v>3.5649999999999999</v>
      </c>
      <c r="I116" s="453" t="s">
        <v>1858</v>
      </c>
      <c r="J116" s="451"/>
      <c r="K116" s="452"/>
      <c r="L116" s="452"/>
      <c r="M116" s="451" t="s">
        <v>1859</v>
      </c>
    </row>
    <row r="117" spans="1:13" x14ac:dyDescent="0.25">
      <c r="A117" s="1" t="s">
        <v>1877</v>
      </c>
      <c r="B117" s="44" t="s">
        <v>228</v>
      </c>
      <c r="C117" s="44" t="s">
        <v>1868</v>
      </c>
      <c r="D117" s="44" t="s">
        <v>1861</v>
      </c>
      <c r="E117" s="203" t="s">
        <v>1857</v>
      </c>
      <c r="F117" s="203">
        <v>1550</v>
      </c>
      <c r="G117" s="203">
        <v>2300</v>
      </c>
      <c r="H117" s="140">
        <f t="shared" si="4"/>
        <v>3.5649999999999999</v>
      </c>
      <c r="I117" s="453" t="s">
        <v>1858</v>
      </c>
      <c r="J117" s="451"/>
      <c r="K117" s="452"/>
      <c r="L117" s="452"/>
      <c r="M117" s="451" t="s">
        <v>1859</v>
      </c>
    </row>
    <row r="118" spans="1:13" x14ac:dyDescent="0.25">
      <c r="A118" s="1" t="s">
        <v>1877</v>
      </c>
      <c r="B118" s="44" t="s">
        <v>228</v>
      </c>
      <c r="C118" s="44" t="s">
        <v>1868</v>
      </c>
      <c r="D118" s="44" t="s">
        <v>1861</v>
      </c>
      <c r="E118" s="203" t="s">
        <v>1857</v>
      </c>
      <c r="F118" s="203">
        <v>1550</v>
      </c>
      <c r="G118" s="203">
        <v>2300</v>
      </c>
      <c r="H118" s="140">
        <f t="shared" si="4"/>
        <v>3.5649999999999999</v>
      </c>
      <c r="I118" s="453" t="s">
        <v>1858</v>
      </c>
      <c r="J118" s="451"/>
      <c r="K118" s="452"/>
      <c r="L118" s="452"/>
      <c r="M118" s="451" t="s">
        <v>1859</v>
      </c>
    </row>
    <row r="119" spans="1:13" x14ac:dyDescent="0.25">
      <c r="A119" s="1" t="s">
        <v>1877</v>
      </c>
      <c r="B119" s="44" t="s">
        <v>228</v>
      </c>
      <c r="C119" s="44" t="s">
        <v>1868</v>
      </c>
      <c r="D119" s="44" t="s">
        <v>1861</v>
      </c>
      <c r="E119" s="203" t="s">
        <v>1857</v>
      </c>
      <c r="F119" s="203">
        <v>1550</v>
      </c>
      <c r="G119" s="203">
        <v>2300</v>
      </c>
      <c r="H119" s="140">
        <f t="shared" si="4"/>
        <v>3.5649999999999999</v>
      </c>
      <c r="I119" s="453" t="s">
        <v>1858</v>
      </c>
      <c r="J119" s="451"/>
      <c r="K119" s="452"/>
      <c r="L119" s="452"/>
      <c r="M119" s="451" t="s">
        <v>1859</v>
      </c>
    </row>
    <row r="120" spans="1:13" x14ac:dyDescent="0.25">
      <c r="A120" s="1" t="s">
        <v>1877</v>
      </c>
      <c r="B120" s="44" t="s">
        <v>228</v>
      </c>
      <c r="C120" s="44" t="s">
        <v>1868</v>
      </c>
      <c r="D120" s="44" t="s">
        <v>1861</v>
      </c>
      <c r="E120" s="203" t="s">
        <v>1857</v>
      </c>
      <c r="F120" s="203">
        <v>1550</v>
      </c>
      <c r="G120" s="203">
        <v>2300</v>
      </c>
      <c r="H120" s="140">
        <f t="shared" si="4"/>
        <v>3.5649999999999999</v>
      </c>
      <c r="I120" s="453" t="s">
        <v>1858</v>
      </c>
      <c r="J120" s="451"/>
      <c r="K120" s="452"/>
      <c r="L120" s="452"/>
      <c r="M120" s="451" t="s">
        <v>1859</v>
      </c>
    </row>
    <row r="121" spans="1:13" x14ac:dyDescent="0.25">
      <c r="A121" s="1" t="s">
        <v>1877</v>
      </c>
      <c r="B121" s="44" t="s">
        <v>228</v>
      </c>
      <c r="C121" s="44" t="s">
        <v>1868</v>
      </c>
      <c r="D121" s="44" t="s">
        <v>1861</v>
      </c>
      <c r="E121" s="203" t="s">
        <v>1857</v>
      </c>
      <c r="F121" s="203">
        <v>1550</v>
      </c>
      <c r="G121" s="203">
        <v>2300</v>
      </c>
      <c r="H121" s="140">
        <f t="shared" si="4"/>
        <v>3.5649999999999999</v>
      </c>
      <c r="I121" s="453" t="s">
        <v>1858</v>
      </c>
      <c r="J121" s="451"/>
      <c r="K121" s="452"/>
      <c r="L121" s="452"/>
      <c r="M121" s="451" t="s">
        <v>1859</v>
      </c>
    </row>
    <row r="122" spans="1:13" x14ac:dyDescent="0.25">
      <c r="A122" s="1" t="s">
        <v>1897</v>
      </c>
      <c r="B122" s="44" t="s">
        <v>361</v>
      </c>
      <c r="C122" s="44" t="s">
        <v>1898</v>
      </c>
      <c r="D122" s="44" t="s">
        <v>1856</v>
      </c>
      <c r="E122" s="203" t="s">
        <v>1857</v>
      </c>
      <c r="F122" s="203">
        <v>2970</v>
      </c>
      <c r="G122" s="203">
        <v>1100</v>
      </c>
      <c r="H122" s="140">
        <f t="shared" si="4"/>
        <v>3.2669999999999999</v>
      </c>
      <c r="I122" s="453" t="s">
        <v>1858</v>
      </c>
      <c r="J122" s="451"/>
      <c r="K122" s="452"/>
      <c r="L122" s="452"/>
      <c r="M122" s="451" t="s">
        <v>1859</v>
      </c>
    </row>
    <row r="123" spans="1:13" x14ac:dyDescent="0.25">
      <c r="A123" s="1" t="s">
        <v>1897</v>
      </c>
      <c r="B123" s="44" t="s">
        <v>361</v>
      </c>
      <c r="C123" s="44" t="s">
        <v>1863</v>
      </c>
      <c r="D123" s="44" t="s">
        <v>1861</v>
      </c>
      <c r="E123" s="203" t="s">
        <v>1857</v>
      </c>
      <c r="F123" s="203">
        <v>1500</v>
      </c>
      <c r="G123" s="203">
        <v>2300</v>
      </c>
      <c r="H123" s="140">
        <f t="shared" si="4"/>
        <v>3.4499999999999997</v>
      </c>
      <c r="I123" s="453">
        <f>H123</f>
        <v>3.4499999999999997</v>
      </c>
      <c r="J123" s="451"/>
      <c r="K123" s="452"/>
      <c r="L123" s="452"/>
      <c r="M123" s="451" t="s">
        <v>1859</v>
      </c>
    </row>
    <row r="124" spans="1:13" x14ac:dyDescent="0.25">
      <c r="A124" s="1" t="s">
        <v>1897</v>
      </c>
      <c r="B124" s="44" t="s">
        <v>361</v>
      </c>
      <c r="C124" s="44" t="s">
        <v>1878</v>
      </c>
      <c r="D124" s="44" t="s">
        <v>1856</v>
      </c>
      <c r="E124" s="203" t="s">
        <v>1857</v>
      </c>
      <c r="F124" s="203">
        <v>750</v>
      </c>
      <c r="G124" s="203">
        <v>2300</v>
      </c>
      <c r="H124" s="140">
        <f t="shared" si="4"/>
        <v>1.7249999999999999</v>
      </c>
      <c r="I124" s="453">
        <f>H124</f>
        <v>1.7249999999999999</v>
      </c>
      <c r="J124" s="451"/>
      <c r="K124" s="452"/>
      <c r="L124" s="452"/>
      <c r="M124" s="451" t="s">
        <v>1859</v>
      </c>
    </row>
    <row r="125" spans="1:13" x14ac:dyDescent="0.25">
      <c r="A125" s="1" t="s">
        <v>1897</v>
      </c>
      <c r="B125" s="44" t="s">
        <v>361</v>
      </c>
      <c r="C125" s="44" t="s">
        <v>1899</v>
      </c>
      <c r="D125" s="44" t="s">
        <v>1869</v>
      </c>
      <c r="E125" s="203" t="s">
        <v>1857</v>
      </c>
      <c r="F125" s="203">
        <v>1550</v>
      </c>
      <c r="G125" s="203">
        <v>1550</v>
      </c>
      <c r="H125" s="140">
        <f t="shared" si="4"/>
        <v>2.4024999999999999</v>
      </c>
      <c r="I125" s="453" t="s">
        <v>1858</v>
      </c>
      <c r="J125" s="451"/>
      <c r="K125" s="452"/>
      <c r="L125" s="452"/>
      <c r="M125" s="451" t="s">
        <v>1859</v>
      </c>
    </row>
    <row r="126" spans="1:13" x14ac:dyDescent="0.25">
      <c r="A126" s="1" t="s">
        <v>1897</v>
      </c>
      <c r="B126" s="44" t="s">
        <v>361</v>
      </c>
      <c r="C126" s="44" t="s">
        <v>1899</v>
      </c>
      <c r="D126" s="44" t="s">
        <v>1866</v>
      </c>
      <c r="E126" s="203" t="s">
        <v>1857</v>
      </c>
      <c r="F126" s="203">
        <v>1550</v>
      </c>
      <c r="G126" s="203">
        <v>1550</v>
      </c>
      <c r="H126" s="140">
        <f t="shared" si="4"/>
        <v>2.4024999999999999</v>
      </c>
      <c r="I126" s="453" t="s">
        <v>1858</v>
      </c>
      <c r="J126" s="451"/>
      <c r="K126" s="452"/>
      <c r="L126" s="452"/>
      <c r="M126" s="451" t="s">
        <v>1859</v>
      </c>
    </row>
    <row r="127" spans="1:13" x14ac:dyDescent="0.25">
      <c r="A127" s="1" t="s">
        <v>1897</v>
      </c>
      <c r="B127" s="44" t="s">
        <v>361</v>
      </c>
      <c r="C127" s="44" t="s">
        <v>1899</v>
      </c>
      <c r="D127" s="44" t="s">
        <v>1866</v>
      </c>
      <c r="E127" s="203" t="s">
        <v>1857</v>
      </c>
      <c r="F127" s="203">
        <v>1550</v>
      </c>
      <c r="G127" s="203">
        <v>1550</v>
      </c>
      <c r="H127" s="140">
        <f t="shared" si="4"/>
        <v>2.4024999999999999</v>
      </c>
      <c r="I127" s="453" t="s">
        <v>1858</v>
      </c>
      <c r="J127" s="451"/>
      <c r="K127" s="452"/>
      <c r="L127" s="452"/>
      <c r="M127" s="451" t="s">
        <v>1859</v>
      </c>
    </row>
    <row r="128" spans="1:13" x14ac:dyDescent="0.25">
      <c r="A128" s="1" t="s">
        <v>1897</v>
      </c>
      <c r="B128" s="44" t="s">
        <v>361</v>
      </c>
      <c r="C128" s="44" t="s">
        <v>1900</v>
      </c>
      <c r="D128" s="44" t="s">
        <v>1866</v>
      </c>
      <c r="E128" s="203" t="s">
        <v>1857</v>
      </c>
      <c r="F128" s="203">
        <v>1550</v>
      </c>
      <c r="G128" s="203">
        <v>1550</v>
      </c>
      <c r="H128" s="140">
        <f t="shared" si="4"/>
        <v>2.4024999999999999</v>
      </c>
      <c r="I128" s="453" t="s">
        <v>1858</v>
      </c>
      <c r="J128" s="451"/>
      <c r="K128" s="452"/>
      <c r="L128" s="452"/>
      <c r="M128" s="451" t="s">
        <v>1859</v>
      </c>
    </row>
    <row r="129" spans="1:13" x14ac:dyDescent="0.25">
      <c r="A129" s="1" t="s">
        <v>1897</v>
      </c>
      <c r="B129" s="44" t="s">
        <v>361</v>
      </c>
      <c r="C129" s="44" t="s">
        <v>1899</v>
      </c>
      <c r="D129" s="44" t="s">
        <v>1866</v>
      </c>
      <c r="E129" s="203" t="s">
        <v>1857</v>
      </c>
      <c r="F129" s="203">
        <v>1550</v>
      </c>
      <c r="G129" s="203">
        <v>1550</v>
      </c>
      <c r="H129" s="140">
        <f t="shared" si="4"/>
        <v>2.4024999999999999</v>
      </c>
      <c r="I129" s="453" t="s">
        <v>1858</v>
      </c>
      <c r="J129" s="451"/>
      <c r="K129" s="452"/>
      <c r="L129" s="452"/>
      <c r="M129" s="451" t="s">
        <v>1859</v>
      </c>
    </row>
    <row r="130" spans="1:13" x14ac:dyDescent="0.25">
      <c r="A130" s="1" t="s">
        <v>1897</v>
      </c>
      <c r="B130" s="44" t="s">
        <v>361</v>
      </c>
      <c r="C130" s="44" t="s">
        <v>1899</v>
      </c>
      <c r="D130" s="44" t="s">
        <v>1866</v>
      </c>
      <c r="E130" s="203" t="s">
        <v>1857</v>
      </c>
      <c r="F130" s="203">
        <v>1550</v>
      </c>
      <c r="G130" s="203">
        <v>1550</v>
      </c>
      <c r="H130" s="140">
        <f t="shared" si="4"/>
        <v>2.4024999999999999</v>
      </c>
      <c r="I130" s="453" t="s">
        <v>1858</v>
      </c>
      <c r="J130" s="451"/>
      <c r="K130" s="452"/>
      <c r="L130" s="452"/>
      <c r="M130" s="451" t="s">
        <v>1859</v>
      </c>
    </row>
    <row r="131" spans="1:13" x14ac:dyDescent="0.25">
      <c r="A131" s="1" t="s">
        <v>1897</v>
      </c>
      <c r="B131" s="44" t="s">
        <v>361</v>
      </c>
      <c r="C131" s="44" t="s">
        <v>1899</v>
      </c>
      <c r="D131" s="44" t="s">
        <v>1861</v>
      </c>
      <c r="E131" s="203" t="s">
        <v>1857</v>
      </c>
      <c r="F131" s="203">
        <v>1550</v>
      </c>
      <c r="G131" s="203">
        <v>1550</v>
      </c>
      <c r="H131" s="140">
        <f t="shared" si="4"/>
        <v>2.4024999999999999</v>
      </c>
      <c r="I131" s="453" t="s">
        <v>1858</v>
      </c>
      <c r="J131" s="451"/>
      <c r="K131" s="452"/>
      <c r="L131" s="452"/>
      <c r="M131" s="451" t="s">
        <v>1859</v>
      </c>
    </row>
    <row r="132" spans="1:13" x14ac:dyDescent="0.25">
      <c r="A132" s="1" t="s">
        <v>1897</v>
      </c>
      <c r="B132" s="44" t="s">
        <v>361</v>
      </c>
      <c r="C132" s="44" t="s">
        <v>1899</v>
      </c>
      <c r="D132" s="44" t="s">
        <v>1861</v>
      </c>
      <c r="E132" s="203" t="s">
        <v>1857</v>
      </c>
      <c r="F132" s="203">
        <v>1550</v>
      </c>
      <c r="G132" s="203">
        <v>1550</v>
      </c>
      <c r="H132" s="140">
        <f t="shared" si="4"/>
        <v>2.4024999999999999</v>
      </c>
      <c r="I132" s="453" t="s">
        <v>1858</v>
      </c>
      <c r="J132" s="451"/>
      <c r="K132" s="452"/>
      <c r="L132" s="452"/>
      <c r="M132" s="451" t="s">
        <v>1859</v>
      </c>
    </row>
    <row r="133" spans="1:13" x14ac:dyDescent="0.25">
      <c r="A133" s="1" t="s">
        <v>1897</v>
      </c>
      <c r="B133" s="44" t="s">
        <v>361</v>
      </c>
      <c r="C133" s="44" t="s">
        <v>1900</v>
      </c>
      <c r="D133" s="44" t="s">
        <v>1861</v>
      </c>
      <c r="E133" s="203" t="s">
        <v>1857</v>
      </c>
      <c r="F133" s="203">
        <v>1550</v>
      </c>
      <c r="G133" s="203">
        <v>1550</v>
      </c>
      <c r="H133" s="140">
        <f t="shared" si="4"/>
        <v>2.4024999999999999</v>
      </c>
      <c r="I133" s="453" t="s">
        <v>1858</v>
      </c>
      <c r="J133" s="451"/>
      <c r="K133" s="452"/>
      <c r="L133" s="452"/>
      <c r="M133" s="451" t="s">
        <v>1859</v>
      </c>
    </row>
    <row r="134" spans="1:13" x14ac:dyDescent="0.25">
      <c r="A134" s="1" t="s">
        <v>1897</v>
      </c>
      <c r="B134" s="44" t="s">
        <v>361</v>
      </c>
      <c r="C134" s="44" t="s">
        <v>1899</v>
      </c>
      <c r="D134" s="44" t="s">
        <v>1861</v>
      </c>
      <c r="E134" s="203" t="s">
        <v>1857</v>
      </c>
      <c r="F134" s="203">
        <v>1550</v>
      </c>
      <c r="G134" s="203">
        <v>1550</v>
      </c>
      <c r="H134" s="140">
        <f t="shared" si="4"/>
        <v>2.4024999999999999</v>
      </c>
      <c r="I134" s="453" t="s">
        <v>1858</v>
      </c>
      <c r="J134" s="451"/>
      <c r="K134" s="452"/>
      <c r="L134" s="452"/>
      <c r="M134" s="451" t="s">
        <v>1859</v>
      </c>
    </row>
    <row r="135" spans="1:13" x14ac:dyDescent="0.25">
      <c r="A135" s="1" t="s">
        <v>1897</v>
      </c>
      <c r="B135" s="44" t="s">
        <v>361</v>
      </c>
      <c r="C135" s="44" t="s">
        <v>1899</v>
      </c>
      <c r="D135" s="44" t="s">
        <v>1861</v>
      </c>
      <c r="E135" s="203" t="s">
        <v>1857</v>
      </c>
      <c r="F135" s="203">
        <v>1550</v>
      </c>
      <c r="G135" s="203">
        <v>1550</v>
      </c>
      <c r="H135" s="140">
        <f t="shared" si="4"/>
        <v>2.4024999999999999</v>
      </c>
      <c r="I135" s="453" t="s">
        <v>1858</v>
      </c>
      <c r="J135" s="451"/>
      <c r="K135" s="452"/>
      <c r="L135" s="452"/>
      <c r="M135" s="451" t="s">
        <v>1859</v>
      </c>
    </row>
    <row r="136" spans="1:13" x14ac:dyDescent="0.25">
      <c r="A136" s="1" t="s">
        <v>1897</v>
      </c>
      <c r="B136" s="44" t="s">
        <v>361</v>
      </c>
      <c r="C136" s="44" t="s">
        <v>1901</v>
      </c>
      <c r="D136" s="44" t="s">
        <v>1869</v>
      </c>
      <c r="E136" s="203" t="s">
        <v>1857</v>
      </c>
      <c r="F136" s="203">
        <v>750</v>
      </c>
      <c r="G136" s="203">
        <v>2300</v>
      </c>
      <c r="H136" s="140">
        <f t="shared" si="4"/>
        <v>1.7249999999999999</v>
      </c>
      <c r="I136" s="453" t="s">
        <v>1858</v>
      </c>
      <c r="J136" s="451"/>
      <c r="K136" s="452"/>
      <c r="L136" s="452"/>
      <c r="M136" s="451" t="s">
        <v>1859</v>
      </c>
    </row>
    <row r="137" spans="1:13" x14ac:dyDescent="0.25">
      <c r="A137" s="1" t="s">
        <v>1897</v>
      </c>
      <c r="B137" s="44" t="s">
        <v>361</v>
      </c>
      <c r="C137" s="44" t="s">
        <v>1901</v>
      </c>
      <c r="D137" s="44" t="s">
        <v>1869</v>
      </c>
      <c r="E137" s="203" t="s">
        <v>1857</v>
      </c>
      <c r="F137" s="203">
        <v>750</v>
      </c>
      <c r="G137" s="203">
        <v>2300</v>
      </c>
      <c r="H137" s="140">
        <f t="shared" si="4"/>
        <v>1.7249999999999999</v>
      </c>
      <c r="I137" s="453" t="s">
        <v>1858</v>
      </c>
      <c r="J137" s="451"/>
      <c r="K137" s="452"/>
      <c r="L137" s="452"/>
      <c r="M137" s="451" t="s">
        <v>1859</v>
      </c>
    </row>
    <row r="138" spans="1:13" x14ac:dyDescent="0.25">
      <c r="A138" s="1" t="s">
        <v>1897</v>
      </c>
      <c r="B138" s="44" t="s">
        <v>361</v>
      </c>
      <c r="C138" s="44" t="s">
        <v>1901</v>
      </c>
      <c r="D138" s="44" t="s">
        <v>1869</v>
      </c>
      <c r="E138" s="203" t="s">
        <v>1857</v>
      </c>
      <c r="F138" s="203">
        <v>750</v>
      </c>
      <c r="G138" s="203">
        <v>2300</v>
      </c>
      <c r="H138" s="140">
        <f t="shared" si="4"/>
        <v>1.7249999999999999</v>
      </c>
      <c r="I138" s="453" t="s">
        <v>1858</v>
      </c>
      <c r="J138" s="451"/>
      <c r="K138" s="452"/>
      <c r="L138" s="452"/>
      <c r="M138" s="451" t="s">
        <v>1859</v>
      </c>
    </row>
    <row r="139" spans="1:13" x14ac:dyDescent="0.25">
      <c r="A139" s="1" t="s">
        <v>1897</v>
      </c>
      <c r="B139" s="44" t="s">
        <v>361</v>
      </c>
      <c r="C139" s="44" t="s">
        <v>1901</v>
      </c>
      <c r="D139" s="44" t="s">
        <v>1869</v>
      </c>
      <c r="E139" s="203" t="s">
        <v>1857</v>
      </c>
      <c r="F139" s="203">
        <v>750</v>
      </c>
      <c r="G139" s="203">
        <v>2300</v>
      </c>
      <c r="H139" s="140">
        <f t="shared" si="4"/>
        <v>1.7249999999999999</v>
      </c>
      <c r="I139" s="453" t="s">
        <v>1858</v>
      </c>
      <c r="J139" s="451"/>
      <c r="K139" s="452"/>
      <c r="L139" s="452"/>
      <c r="M139" s="451" t="s">
        <v>1859</v>
      </c>
    </row>
    <row r="140" spans="1:13" x14ac:dyDescent="0.25">
      <c r="A140" s="1" t="s">
        <v>1897</v>
      </c>
      <c r="B140" s="44" t="s">
        <v>361</v>
      </c>
      <c r="C140" s="44" t="s">
        <v>1902</v>
      </c>
      <c r="D140" s="44" t="s">
        <v>1869</v>
      </c>
      <c r="E140" s="203" t="s">
        <v>1857</v>
      </c>
      <c r="F140" s="203">
        <v>1500</v>
      </c>
      <c r="G140" s="203">
        <v>2300</v>
      </c>
      <c r="H140" s="140">
        <f t="shared" si="4"/>
        <v>3.4499999999999997</v>
      </c>
      <c r="I140" s="453" t="s">
        <v>1858</v>
      </c>
      <c r="J140" s="451"/>
      <c r="K140" s="452"/>
      <c r="L140" s="452"/>
      <c r="M140" s="451" t="s">
        <v>1859</v>
      </c>
    </row>
    <row r="141" spans="1:13" x14ac:dyDescent="0.25">
      <c r="A141" s="1" t="s">
        <v>1897</v>
      </c>
      <c r="B141" s="44" t="s">
        <v>361</v>
      </c>
      <c r="C141" s="44" t="s">
        <v>1901</v>
      </c>
      <c r="D141" s="44" t="s">
        <v>1869</v>
      </c>
      <c r="E141" s="203" t="s">
        <v>1857</v>
      </c>
      <c r="F141" s="203">
        <v>750</v>
      </c>
      <c r="G141" s="203">
        <v>2300</v>
      </c>
      <c r="H141" s="140">
        <f t="shared" si="4"/>
        <v>1.7249999999999999</v>
      </c>
      <c r="I141" s="453" t="s">
        <v>1858</v>
      </c>
      <c r="J141" s="451"/>
      <c r="K141" s="452"/>
      <c r="L141" s="452"/>
      <c r="M141" s="451" t="s">
        <v>1859</v>
      </c>
    </row>
    <row r="142" spans="1:13" x14ac:dyDescent="0.25">
      <c r="A142" s="1" t="s">
        <v>1897</v>
      </c>
      <c r="B142" s="44" t="s">
        <v>361</v>
      </c>
      <c r="C142" s="44" t="s">
        <v>1901</v>
      </c>
      <c r="D142" s="44" t="s">
        <v>1869</v>
      </c>
      <c r="E142" s="203" t="s">
        <v>1857</v>
      </c>
      <c r="F142" s="203">
        <v>750</v>
      </c>
      <c r="G142" s="203">
        <v>2300</v>
      </c>
      <c r="H142" s="140">
        <f t="shared" si="4"/>
        <v>1.7249999999999999</v>
      </c>
      <c r="I142" s="453" t="s">
        <v>1858</v>
      </c>
      <c r="J142" s="451"/>
      <c r="K142" s="452"/>
      <c r="L142" s="452"/>
      <c r="M142" s="451" t="s">
        <v>1859</v>
      </c>
    </row>
    <row r="143" spans="1:13" x14ac:dyDescent="0.25">
      <c r="A143" s="1" t="s">
        <v>1897</v>
      </c>
      <c r="B143" s="44" t="s">
        <v>361</v>
      </c>
      <c r="C143" s="44" t="s">
        <v>1901</v>
      </c>
      <c r="D143" s="44" t="s">
        <v>1869</v>
      </c>
      <c r="E143" s="203" t="s">
        <v>1857</v>
      </c>
      <c r="F143" s="203">
        <v>750</v>
      </c>
      <c r="G143" s="203">
        <v>2300</v>
      </c>
      <c r="H143" s="140">
        <f t="shared" si="4"/>
        <v>1.7249999999999999</v>
      </c>
      <c r="I143" s="453" t="s">
        <v>1858</v>
      </c>
      <c r="J143" s="451"/>
      <c r="K143" s="452"/>
      <c r="L143" s="452"/>
      <c r="M143" s="451" t="s">
        <v>1859</v>
      </c>
    </row>
    <row r="144" spans="1:13" x14ac:dyDescent="0.25">
      <c r="A144" s="1" t="s">
        <v>1897</v>
      </c>
      <c r="B144" s="44" t="s">
        <v>361</v>
      </c>
      <c r="C144" s="44" t="s">
        <v>1901</v>
      </c>
      <c r="D144" s="44" t="s">
        <v>1869</v>
      </c>
      <c r="E144" s="203" t="s">
        <v>1857</v>
      </c>
      <c r="F144" s="203">
        <v>750</v>
      </c>
      <c r="G144" s="203">
        <v>2300</v>
      </c>
      <c r="H144" s="140">
        <f t="shared" si="4"/>
        <v>1.7249999999999999</v>
      </c>
      <c r="I144" s="453" t="s">
        <v>1858</v>
      </c>
      <c r="J144" s="451"/>
      <c r="K144" s="452"/>
      <c r="L144" s="452"/>
      <c r="M144" s="451" t="s">
        <v>1859</v>
      </c>
    </row>
    <row r="145" spans="1:13" x14ac:dyDescent="0.25">
      <c r="A145" s="1" t="s">
        <v>1897</v>
      </c>
      <c r="B145" s="44" t="s">
        <v>361</v>
      </c>
      <c r="C145" s="44" t="s">
        <v>1902</v>
      </c>
      <c r="D145" s="44" t="s">
        <v>1869</v>
      </c>
      <c r="E145" s="203" t="s">
        <v>1857</v>
      </c>
      <c r="F145" s="203">
        <v>1500</v>
      </c>
      <c r="G145" s="203">
        <v>2300</v>
      </c>
      <c r="H145" s="140">
        <f t="shared" si="4"/>
        <v>3.4499999999999997</v>
      </c>
      <c r="I145" s="453" t="s">
        <v>1858</v>
      </c>
      <c r="J145" s="451"/>
      <c r="K145" s="452"/>
      <c r="L145" s="452"/>
      <c r="M145" s="451" t="s">
        <v>1859</v>
      </c>
    </row>
    <row r="146" spans="1:13" x14ac:dyDescent="0.25">
      <c r="A146" s="1" t="s">
        <v>1897</v>
      </c>
      <c r="B146" s="44" t="s">
        <v>361</v>
      </c>
      <c r="C146" s="44" t="s">
        <v>1903</v>
      </c>
      <c r="D146" s="44" t="s">
        <v>1869</v>
      </c>
      <c r="E146" s="203" t="s">
        <v>1857</v>
      </c>
      <c r="F146" s="203">
        <v>3930</v>
      </c>
      <c r="G146" s="203">
        <v>1100</v>
      </c>
      <c r="H146" s="140">
        <f t="shared" si="4"/>
        <v>4.3229999999999995</v>
      </c>
      <c r="I146" s="453" t="s">
        <v>1858</v>
      </c>
      <c r="J146" s="451"/>
      <c r="K146" s="452"/>
      <c r="L146" s="452"/>
      <c r="M146" s="451" t="s">
        <v>1859</v>
      </c>
    </row>
    <row r="147" spans="1:13" x14ac:dyDescent="0.25">
      <c r="A147" s="1" t="s">
        <v>1897</v>
      </c>
      <c r="B147" s="44" t="s">
        <v>278</v>
      </c>
      <c r="C147" s="44" t="s">
        <v>1891</v>
      </c>
      <c r="D147" s="44" t="s">
        <v>1866</v>
      </c>
      <c r="E147" s="203" t="s">
        <v>1857</v>
      </c>
      <c r="F147" s="203">
        <v>5250</v>
      </c>
      <c r="G147" s="203">
        <v>2300</v>
      </c>
      <c r="H147" s="140">
        <f t="shared" si="4"/>
        <v>12.074999999999999</v>
      </c>
      <c r="I147" s="203" t="s">
        <v>1858</v>
      </c>
      <c r="J147" s="451"/>
      <c r="K147" s="452"/>
      <c r="L147" s="452"/>
      <c r="M147" s="451" t="s">
        <v>1859</v>
      </c>
    </row>
    <row r="148" spans="1:13" x14ac:dyDescent="0.25">
      <c r="A148" s="1" t="s">
        <v>1897</v>
      </c>
      <c r="B148" s="44" t="s">
        <v>278</v>
      </c>
      <c r="C148" s="44" t="s">
        <v>1892</v>
      </c>
      <c r="D148" s="44" t="s">
        <v>1866</v>
      </c>
      <c r="E148" s="203" t="s">
        <v>1857</v>
      </c>
      <c r="F148" s="203">
        <v>5250</v>
      </c>
      <c r="G148" s="203">
        <v>2300</v>
      </c>
      <c r="H148" s="140">
        <f t="shared" si="4"/>
        <v>12.074999999999999</v>
      </c>
      <c r="I148" s="203" t="s">
        <v>1858</v>
      </c>
      <c r="J148" s="451"/>
      <c r="K148" s="452"/>
      <c r="L148" s="452"/>
      <c r="M148" s="451" t="s">
        <v>1859</v>
      </c>
    </row>
    <row r="149" spans="1:13" x14ac:dyDescent="0.25">
      <c r="A149" s="1" t="s">
        <v>1897</v>
      </c>
      <c r="B149" s="44" t="s">
        <v>278</v>
      </c>
      <c r="C149" s="44" t="s">
        <v>1891</v>
      </c>
      <c r="D149" s="44" t="s">
        <v>1866</v>
      </c>
      <c r="E149" s="203" t="s">
        <v>1857</v>
      </c>
      <c r="F149" s="203">
        <v>5250</v>
      </c>
      <c r="G149" s="203">
        <v>2300</v>
      </c>
      <c r="H149" s="140">
        <f t="shared" si="4"/>
        <v>12.074999999999999</v>
      </c>
      <c r="I149" s="203" t="s">
        <v>1858</v>
      </c>
      <c r="J149" s="451"/>
      <c r="K149" s="452"/>
      <c r="L149" s="452"/>
      <c r="M149" s="451" t="s">
        <v>1859</v>
      </c>
    </row>
    <row r="150" spans="1:13" x14ac:dyDescent="0.25">
      <c r="A150" s="1" t="s">
        <v>1897</v>
      </c>
      <c r="B150" s="44" t="s">
        <v>278</v>
      </c>
      <c r="C150" s="44" t="s">
        <v>1863</v>
      </c>
      <c r="D150" s="44" t="s">
        <v>1861</v>
      </c>
      <c r="E150" s="203" t="s">
        <v>1857</v>
      </c>
      <c r="F150" s="203">
        <v>1500</v>
      </c>
      <c r="G150" s="203">
        <v>2300</v>
      </c>
      <c r="H150" s="140">
        <f t="shared" si="4"/>
        <v>3.4499999999999997</v>
      </c>
      <c r="I150" s="453">
        <f>H150</f>
        <v>3.4499999999999997</v>
      </c>
      <c r="J150" s="451"/>
      <c r="K150" s="452"/>
      <c r="L150" s="452"/>
      <c r="M150" s="451" t="s">
        <v>1859</v>
      </c>
    </row>
    <row r="151" spans="1:13" x14ac:dyDescent="0.25">
      <c r="A151" s="1" t="s">
        <v>1897</v>
      </c>
      <c r="B151" s="44" t="s">
        <v>278</v>
      </c>
      <c r="C151" s="44" t="s">
        <v>1863</v>
      </c>
      <c r="D151" s="44" t="s">
        <v>1861</v>
      </c>
      <c r="E151" s="203" t="s">
        <v>1857</v>
      </c>
      <c r="F151" s="203">
        <v>1500</v>
      </c>
      <c r="G151" s="203">
        <v>2300</v>
      </c>
      <c r="H151" s="140">
        <f t="shared" si="4"/>
        <v>3.4499999999999997</v>
      </c>
      <c r="I151" s="453">
        <f>H151</f>
        <v>3.4499999999999997</v>
      </c>
      <c r="J151" s="451"/>
      <c r="K151" s="452"/>
      <c r="L151" s="452"/>
      <c r="M151" s="451" t="s">
        <v>1859</v>
      </c>
    </row>
    <row r="152" spans="1:13" x14ac:dyDescent="0.25">
      <c r="A152" s="1" t="s">
        <v>1897</v>
      </c>
      <c r="B152" s="44" t="s">
        <v>278</v>
      </c>
      <c r="C152" s="44" t="s">
        <v>1902</v>
      </c>
      <c r="D152" s="44" t="s">
        <v>1856</v>
      </c>
      <c r="E152" s="203" t="s">
        <v>1857</v>
      </c>
      <c r="F152" s="203">
        <v>1500</v>
      </c>
      <c r="G152" s="203">
        <v>2300</v>
      </c>
      <c r="H152" s="140">
        <f t="shared" si="4"/>
        <v>3.4499999999999997</v>
      </c>
      <c r="I152" s="453">
        <f>H152</f>
        <v>3.4499999999999997</v>
      </c>
      <c r="J152" s="451"/>
      <c r="K152" s="452"/>
      <c r="L152" s="452"/>
      <c r="M152" s="451" t="s">
        <v>1859</v>
      </c>
    </row>
    <row r="153" spans="1:13" x14ac:dyDescent="0.25">
      <c r="A153" s="1" t="s">
        <v>1897</v>
      </c>
      <c r="B153" s="44" t="s">
        <v>278</v>
      </c>
      <c r="C153" s="44" t="s">
        <v>1902</v>
      </c>
      <c r="D153" s="44" t="s">
        <v>1869</v>
      </c>
      <c r="E153" s="203" t="s">
        <v>1857</v>
      </c>
      <c r="F153" s="203">
        <v>1500</v>
      </c>
      <c r="G153" s="203">
        <v>2300</v>
      </c>
      <c r="H153" s="140">
        <f t="shared" si="4"/>
        <v>3.4499999999999997</v>
      </c>
      <c r="I153" s="453" t="s">
        <v>1858</v>
      </c>
      <c r="J153" s="451"/>
      <c r="K153" s="452"/>
      <c r="L153" s="452"/>
      <c r="M153" s="451" t="s">
        <v>1859</v>
      </c>
    </row>
    <row r="154" spans="1:13" x14ac:dyDescent="0.25">
      <c r="A154" s="1" t="s">
        <v>1897</v>
      </c>
      <c r="B154" s="44" t="s">
        <v>278</v>
      </c>
      <c r="C154" s="44" t="s">
        <v>1863</v>
      </c>
      <c r="D154" s="44" t="s">
        <v>1861</v>
      </c>
      <c r="E154" s="203" t="s">
        <v>1857</v>
      </c>
      <c r="F154" s="203">
        <v>1500</v>
      </c>
      <c r="G154" s="203">
        <v>2300</v>
      </c>
      <c r="H154" s="140">
        <f t="shared" si="4"/>
        <v>3.4499999999999997</v>
      </c>
      <c r="I154" s="453" t="s">
        <v>1858</v>
      </c>
      <c r="J154" s="451"/>
      <c r="K154" s="452"/>
      <c r="L154" s="452"/>
      <c r="M154" s="451" t="s">
        <v>1859</v>
      </c>
    </row>
    <row r="155" spans="1:13" x14ac:dyDescent="0.25">
      <c r="A155" s="1" t="s">
        <v>1897</v>
      </c>
      <c r="B155" s="44" t="s">
        <v>278</v>
      </c>
      <c r="C155" s="44" t="s">
        <v>1863</v>
      </c>
      <c r="D155" s="44" t="s">
        <v>1861</v>
      </c>
      <c r="E155" s="203" t="s">
        <v>1857</v>
      </c>
      <c r="F155" s="203">
        <v>1500</v>
      </c>
      <c r="G155" s="203">
        <v>2300</v>
      </c>
      <c r="H155" s="140">
        <f t="shared" si="4"/>
        <v>3.4499999999999997</v>
      </c>
      <c r="I155" s="453" t="s">
        <v>1858</v>
      </c>
      <c r="J155" s="451"/>
      <c r="K155" s="452"/>
      <c r="L155" s="452"/>
      <c r="M155" s="451" t="s">
        <v>1859</v>
      </c>
    </row>
    <row r="156" spans="1:13" x14ac:dyDescent="0.25">
      <c r="A156" s="1" t="s">
        <v>1897</v>
      </c>
      <c r="B156" s="44" t="s">
        <v>228</v>
      </c>
      <c r="C156" s="44" t="s">
        <v>1899</v>
      </c>
      <c r="D156" s="44" t="s">
        <v>1866</v>
      </c>
      <c r="E156" s="203" t="s">
        <v>1857</v>
      </c>
      <c r="F156" s="203">
        <v>1550</v>
      </c>
      <c r="G156" s="203">
        <v>1550</v>
      </c>
      <c r="H156" s="140">
        <f t="shared" si="4"/>
        <v>2.4024999999999999</v>
      </c>
      <c r="I156" s="453" t="s">
        <v>1858</v>
      </c>
      <c r="J156" s="451"/>
      <c r="K156" s="452"/>
      <c r="L156" s="452"/>
      <c r="M156" s="451" t="s">
        <v>1859</v>
      </c>
    </row>
    <row r="157" spans="1:13" x14ac:dyDescent="0.25">
      <c r="A157" s="1" t="s">
        <v>1897</v>
      </c>
      <c r="B157" s="44" t="s">
        <v>228</v>
      </c>
      <c r="C157" s="44" t="s">
        <v>1899</v>
      </c>
      <c r="D157" s="44" t="s">
        <v>1866</v>
      </c>
      <c r="E157" s="203" t="s">
        <v>1857</v>
      </c>
      <c r="F157" s="203">
        <v>1550</v>
      </c>
      <c r="G157" s="203">
        <v>1550</v>
      </c>
      <c r="H157" s="140">
        <f t="shared" si="4"/>
        <v>2.4024999999999999</v>
      </c>
      <c r="I157" s="453" t="s">
        <v>1858</v>
      </c>
      <c r="J157" s="451"/>
      <c r="K157" s="452"/>
      <c r="L157" s="452"/>
      <c r="M157" s="451" t="s">
        <v>1859</v>
      </c>
    </row>
    <row r="158" spans="1:13" x14ac:dyDescent="0.25">
      <c r="A158" s="1" t="s">
        <v>1897</v>
      </c>
      <c r="B158" s="44" t="s">
        <v>228</v>
      </c>
      <c r="C158" s="44" t="s">
        <v>1900</v>
      </c>
      <c r="D158" s="44" t="s">
        <v>1866</v>
      </c>
      <c r="E158" s="203" t="s">
        <v>1857</v>
      </c>
      <c r="F158" s="203">
        <v>1550</v>
      </c>
      <c r="G158" s="203">
        <v>1550</v>
      </c>
      <c r="H158" s="140">
        <f t="shared" si="4"/>
        <v>2.4024999999999999</v>
      </c>
      <c r="I158" s="453" t="s">
        <v>1858</v>
      </c>
      <c r="J158" s="451"/>
      <c r="K158" s="452"/>
      <c r="L158" s="452"/>
      <c r="M158" s="451" t="s">
        <v>1859</v>
      </c>
    </row>
    <row r="159" spans="1:13" x14ac:dyDescent="0.25">
      <c r="A159" s="1" t="s">
        <v>1897</v>
      </c>
      <c r="B159" s="44" t="s">
        <v>228</v>
      </c>
      <c r="C159" s="44" t="s">
        <v>1899</v>
      </c>
      <c r="D159" s="44" t="s">
        <v>1866</v>
      </c>
      <c r="E159" s="203" t="s">
        <v>1857</v>
      </c>
      <c r="F159" s="203">
        <v>1550</v>
      </c>
      <c r="G159" s="203">
        <v>1550</v>
      </c>
      <c r="H159" s="140">
        <f t="shared" si="4"/>
        <v>2.4024999999999999</v>
      </c>
      <c r="I159" s="453" t="s">
        <v>1858</v>
      </c>
      <c r="J159" s="451"/>
      <c r="K159" s="452"/>
      <c r="L159" s="452"/>
      <c r="M159" s="451" t="s">
        <v>1859</v>
      </c>
    </row>
    <row r="160" spans="1:13" x14ac:dyDescent="0.25">
      <c r="A160" s="1" t="s">
        <v>1897</v>
      </c>
      <c r="B160" s="44" t="s">
        <v>228</v>
      </c>
      <c r="C160" s="44" t="s">
        <v>1899</v>
      </c>
      <c r="D160" s="44" t="s">
        <v>1866</v>
      </c>
      <c r="E160" s="203" t="s">
        <v>1857</v>
      </c>
      <c r="F160" s="203">
        <v>1550</v>
      </c>
      <c r="G160" s="203">
        <v>1550</v>
      </c>
      <c r="H160" s="140">
        <f t="shared" si="4"/>
        <v>2.4024999999999999</v>
      </c>
      <c r="I160" s="453" t="s">
        <v>1858</v>
      </c>
      <c r="J160" s="451"/>
      <c r="K160" s="452"/>
      <c r="L160" s="452"/>
      <c r="M160" s="451" t="s">
        <v>1859</v>
      </c>
    </row>
    <row r="161" spans="1:13" x14ac:dyDescent="0.25">
      <c r="A161" s="1" t="s">
        <v>1897</v>
      </c>
      <c r="B161" s="44" t="s">
        <v>228</v>
      </c>
      <c r="C161" s="44" t="s">
        <v>1899</v>
      </c>
      <c r="D161" s="44" t="s">
        <v>1856</v>
      </c>
      <c r="E161" s="203" t="s">
        <v>1857</v>
      </c>
      <c r="F161" s="203">
        <v>1550</v>
      </c>
      <c r="G161" s="203">
        <v>1550</v>
      </c>
      <c r="H161" s="140">
        <f t="shared" si="4"/>
        <v>2.4024999999999999</v>
      </c>
      <c r="I161" s="453" t="s">
        <v>1858</v>
      </c>
      <c r="J161" s="451"/>
      <c r="K161" s="452"/>
      <c r="L161" s="452"/>
      <c r="M161" s="451" t="s">
        <v>1859</v>
      </c>
    </row>
    <row r="162" spans="1:13" x14ac:dyDescent="0.25">
      <c r="A162" s="1" t="s">
        <v>1897</v>
      </c>
      <c r="B162" s="44" t="s">
        <v>228</v>
      </c>
      <c r="C162" s="44" t="s">
        <v>1878</v>
      </c>
      <c r="D162" s="44" t="s">
        <v>1869</v>
      </c>
      <c r="E162" s="203" t="s">
        <v>1857</v>
      </c>
      <c r="F162" s="203">
        <v>750</v>
      </c>
      <c r="G162" s="203">
        <v>2300</v>
      </c>
      <c r="H162" s="140">
        <f t="shared" si="4"/>
        <v>1.7249999999999999</v>
      </c>
      <c r="I162" s="453" t="s">
        <v>1858</v>
      </c>
      <c r="J162" s="451"/>
      <c r="K162" s="452"/>
      <c r="L162" s="452"/>
      <c r="M162" s="451" t="s">
        <v>1859</v>
      </c>
    </row>
    <row r="163" spans="1:13" x14ac:dyDescent="0.25">
      <c r="A163" s="1" t="s">
        <v>1897</v>
      </c>
      <c r="B163" s="44" t="s">
        <v>228</v>
      </c>
      <c r="C163" s="44" t="s">
        <v>1863</v>
      </c>
      <c r="D163" s="44" t="s">
        <v>1861</v>
      </c>
      <c r="E163" s="203" t="s">
        <v>1857</v>
      </c>
      <c r="F163" s="203">
        <v>1500</v>
      </c>
      <c r="G163" s="203">
        <v>2300</v>
      </c>
      <c r="H163" s="140">
        <f t="shared" si="4"/>
        <v>3.4499999999999997</v>
      </c>
      <c r="I163" s="453" t="s">
        <v>1858</v>
      </c>
      <c r="J163" s="451"/>
      <c r="K163" s="452"/>
      <c r="L163" s="452"/>
      <c r="M163" s="451" t="s">
        <v>1859</v>
      </c>
    </row>
    <row r="164" spans="1:13" x14ac:dyDescent="0.25">
      <c r="A164" s="1" t="s">
        <v>1897</v>
      </c>
      <c r="B164" s="44" t="s">
        <v>228</v>
      </c>
      <c r="C164" s="44" t="s">
        <v>1898</v>
      </c>
      <c r="D164" s="44" t="s">
        <v>1869</v>
      </c>
      <c r="E164" s="203" t="s">
        <v>1857</v>
      </c>
      <c r="F164" s="203">
        <v>2970</v>
      </c>
      <c r="G164" s="203">
        <v>1100</v>
      </c>
      <c r="H164" s="140">
        <f t="shared" si="4"/>
        <v>3.2669999999999999</v>
      </c>
      <c r="I164" s="453" t="s">
        <v>1858</v>
      </c>
      <c r="J164" s="451"/>
      <c r="K164" s="452"/>
      <c r="L164" s="452"/>
      <c r="M164" s="451" t="s">
        <v>1859</v>
      </c>
    </row>
    <row r="165" spans="1:13" x14ac:dyDescent="0.25">
      <c r="A165" s="1" t="s">
        <v>1897</v>
      </c>
      <c r="B165" s="44" t="s">
        <v>228</v>
      </c>
      <c r="C165" s="44" t="s">
        <v>1903</v>
      </c>
      <c r="D165" s="44" t="s">
        <v>1856</v>
      </c>
      <c r="E165" s="203" t="s">
        <v>1857</v>
      </c>
      <c r="F165" s="203">
        <v>3930</v>
      </c>
      <c r="G165" s="203">
        <v>1100</v>
      </c>
      <c r="H165" s="140">
        <f t="shared" si="4"/>
        <v>4.3229999999999995</v>
      </c>
      <c r="I165" s="453" t="s">
        <v>1858</v>
      </c>
      <c r="J165" s="451"/>
      <c r="K165" s="452"/>
      <c r="L165" s="452"/>
      <c r="M165" s="451" t="s">
        <v>1859</v>
      </c>
    </row>
    <row r="166" spans="1:13" x14ac:dyDescent="0.25">
      <c r="A166" s="1" t="s">
        <v>1897</v>
      </c>
      <c r="B166" s="44" t="s">
        <v>228</v>
      </c>
      <c r="C166" s="44" t="s">
        <v>1901</v>
      </c>
      <c r="D166" s="44" t="s">
        <v>1856</v>
      </c>
      <c r="E166" s="203" t="s">
        <v>1857</v>
      </c>
      <c r="F166" s="203">
        <v>750</v>
      </c>
      <c r="G166" s="203">
        <v>2300</v>
      </c>
      <c r="H166" s="140">
        <f t="shared" si="4"/>
        <v>1.7249999999999999</v>
      </c>
      <c r="I166" s="453">
        <f t="shared" ref="I166:I174" si="5">H166</f>
        <v>1.7249999999999999</v>
      </c>
      <c r="J166" s="451"/>
      <c r="K166" s="452"/>
      <c r="L166" s="452"/>
      <c r="M166" s="451" t="s">
        <v>1859</v>
      </c>
    </row>
    <row r="167" spans="1:13" x14ac:dyDescent="0.25">
      <c r="A167" s="1" t="s">
        <v>1897</v>
      </c>
      <c r="B167" s="44" t="s">
        <v>228</v>
      </c>
      <c r="C167" s="44" t="s">
        <v>1901</v>
      </c>
      <c r="D167" s="44" t="s">
        <v>1856</v>
      </c>
      <c r="E167" s="203" t="s">
        <v>1857</v>
      </c>
      <c r="F167" s="203">
        <v>750</v>
      </c>
      <c r="G167" s="203">
        <v>2300</v>
      </c>
      <c r="H167" s="140">
        <f t="shared" si="4"/>
        <v>1.7249999999999999</v>
      </c>
      <c r="I167" s="453">
        <f t="shared" si="5"/>
        <v>1.7249999999999999</v>
      </c>
      <c r="J167" s="451"/>
      <c r="K167" s="452"/>
      <c r="L167" s="452"/>
      <c r="M167" s="451" t="s">
        <v>1859</v>
      </c>
    </row>
    <row r="168" spans="1:13" x14ac:dyDescent="0.25">
      <c r="A168" s="1" t="s">
        <v>1897</v>
      </c>
      <c r="B168" s="44" t="s">
        <v>228</v>
      </c>
      <c r="C168" s="44" t="s">
        <v>1901</v>
      </c>
      <c r="D168" s="44" t="s">
        <v>1856</v>
      </c>
      <c r="E168" s="203" t="s">
        <v>1857</v>
      </c>
      <c r="F168" s="203">
        <v>750</v>
      </c>
      <c r="G168" s="203">
        <v>2300</v>
      </c>
      <c r="H168" s="140">
        <f t="shared" si="4"/>
        <v>1.7249999999999999</v>
      </c>
      <c r="I168" s="453">
        <f t="shared" si="5"/>
        <v>1.7249999999999999</v>
      </c>
      <c r="J168" s="451"/>
      <c r="K168" s="452"/>
      <c r="L168" s="452"/>
      <c r="M168" s="451" t="s">
        <v>1859</v>
      </c>
    </row>
    <row r="169" spans="1:13" x14ac:dyDescent="0.25">
      <c r="A169" s="1" t="s">
        <v>1897</v>
      </c>
      <c r="B169" s="44" t="s">
        <v>228</v>
      </c>
      <c r="C169" s="44" t="s">
        <v>1901</v>
      </c>
      <c r="D169" s="44" t="s">
        <v>1856</v>
      </c>
      <c r="E169" s="203" t="s">
        <v>1857</v>
      </c>
      <c r="F169" s="203">
        <v>750</v>
      </c>
      <c r="G169" s="203">
        <v>2300</v>
      </c>
      <c r="H169" s="140">
        <f t="shared" si="4"/>
        <v>1.7249999999999999</v>
      </c>
      <c r="I169" s="453">
        <f t="shared" si="5"/>
        <v>1.7249999999999999</v>
      </c>
      <c r="J169" s="451"/>
      <c r="K169" s="452"/>
      <c r="L169" s="452"/>
      <c r="M169" s="451" t="s">
        <v>1859</v>
      </c>
    </row>
    <row r="170" spans="1:13" x14ac:dyDescent="0.25">
      <c r="A170" s="1" t="s">
        <v>1897</v>
      </c>
      <c r="B170" s="44" t="s">
        <v>228</v>
      </c>
      <c r="C170" s="44" t="s">
        <v>1902</v>
      </c>
      <c r="D170" s="44" t="s">
        <v>1856</v>
      </c>
      <c r="E170" s="203" t="s">
        <v>1857</v>
      </c>
      <c r="F170" s="203">
        <v>1500</v>
      </c>
      <c r="G170" s="203">
        <v>2300</v>
      </c>
      <c r="H170" s="140">
        <f t="shared" si="4"/>
        <v>3.4499999999999997</v>
      </c>
      <c r="I170" s="453">
        <f t="shared" si="5"/>
        <v>3.4499999999999997</v>
      </c>
      <c r="J170" s="451"/>
      <c r="K170" s="452"/>
      <c r="L170" s="452"/>
      <c r="M170" s="451" t="s">
        <v>1859</v>
      </c>
    </row>
    <row r="171" spans="1:13" x14ac:dyDescent="0.25">
      <c r="A171" s="1" t="s">
        <v>1897</v>
      </c>
      <c r="B171" s="44" t="s">
        <v>228</v>
      </c>
      <c r="C171" s="44" t="s">
        <v>1901</v>
      </c>
      <c r="D171" s="44" t="s">
        <v>1856</v>
      </c>
      <c r="E171" s="203" t="s">
        <v>1857</v>
      </c>
      <c r="F171" s="203">
        <v>750</v>
      </c>
      <c r="G171" s="203">
        <v>2300</v>
      </c>
      <c r="H171" s="140">
        <f t="shared" si="4"/>
        <v>1.7249999999999999</v>
      </c>
      <c r="I171" s="453">
        <f t="shared" si="5"/>
        <v>1.7249999999999999</v>
      </c>
      <c r="J171" s="451"/>
      <c r="K171" s="452"/>
      <c r="L171" s="452"/>
      <c r="M171" s="451" t="s">
        <v>1859</v>
      </c>
    </row>
    <row r="172" spans="1:13" x14ac:dyDescent="0.25">
      <c r="A172" s="1" t="s">
        <v>1897</v>
      </c>
      <c r="B172" s="44" t="s">
        <v>228</v>
      </c>
      <c r="C172" s="44" t="s">
        <v>1901</v>
      </c>
      <c r="D172" s="44" t="s">
        <v>1856</v>
      </c>
      <c r="E172" s="203" t="s">
        <v>1857</v>
      </c>
      <c r="F172" s="203">
        <v>750</v>
      </c>
      <c r="G172" s="203">
        <v>2300</v>
      </c>
      <c r="H172" s="140">
        <f t="shared" si="4"/>
        <v>1.7249999999999999</v>
      </c>
      <c r="I172" s="453">
        <f t="shared" si="5"/>
        <v>1.7249999999999999</v>
      </c>
      <c r="J172" s="451"/>
      <c r="K172" s="452"/>
      <c r="L172" s="452"/>
      <c r="M172" s="451" t="s">
        <v>1859</v>
      </c>
    </row>
    <row r="173" spans="1:13" x14ac:dyDescent="0.25">
      <c r="A173" s="1" t="s">
        <v>1897</v>
      </c>
      <c r="B173" s="44" t="s">
        <v>228</v>
      </c>
      <c r="C173" s="44" t="s">
        <v>1901</v>
      </c>
      <c r="D173" s="44" t="s">
        <v>1856</v>
      </c>
      <c r="E173" s="203" t="s">
        <v>1857</v>
      </c>
      <c r="F173" s="203">
        <v>750</v>
      </c>
      <c r="G173" s="203">
        <v>2300</v>
      </c>
      <c r="H173" s="140">
        <f t="shared" si="4"/>
        <v>1.7249999999999999</v>
      </c>
      <c r="I173" s="453">
        <f t="shared" si="5"/>
        <v>1.7249999999999999</v>
      </c>
      <c r="J173" s="451"/>
      <c r="K173" s="452"/>
      <c r="L173" s="452"/>
      <c r="M173" s="451" t="s">
        <v>1859</v>
      </c>
    </row>
    <row r="174" spans="1:13" x14ac:dyDescent="0.25">
      <c r="A174" s="1" t="s">
        <v>1897</v>
      </c>
      <c r="B174" s="44" t="s">
        <v>228</v>
      </c>
      <c r="C174" s="44" t="s">
        <v>1901</v>
      </c>
      <c r="D174" s="44" t="s">
        <v>1856</v>
      </c>
      <c r="E174" s="203" t="s">
        <v>1857</v>
      </c>
      <c r="F174" s="203">
        <v>750</v>
      </c>
      <c r="G174" s="203">
        <v>2300</v>
      </c>
      <c r="H174" s="140">
        <f t="shared" ref="H174:H237" si="6">F174*G174*0.000001</f>
        <v>1.7249999999999999</v>
      </c>
      <c r="I174" s="453">
        <f t="shared" si="5"/>
        <v>1.7249999999999999</v>
      </c>
      <c r="J174" s="451"/>
      <c r="K174" s="452"/>
      <c r="L174" s="452"/>
      <c r="M174" s="451" t="s">
        <v>1859</v>
      </c>
    </row>
    <row r="175" spans="1:13" x14ac:dyDescent="0.25">
      <c r="A175" s="1" t="s">
        <v>1897</v>
      </c>
      <c r="B175" s="44" t="s">
        <v>228</v>
      </c>
      <c r="C175" s="44" t="s">
        <v>1899</v>
      </c>
      <c r="D175" s="44" t="s">
        <v>1861</v>
      </c>
      <c r="E175" s="203" t="s">
        <v>1857</v>
      </c>
      <c r="F175" s="203">
        <v>1550</v>
      </c>
      <c r="G175" s="203">
        <v>1550</v>
      </c>
      <c r="H175" s="140">
        <f t="shared" si="6"/>
        <v>2.4024999999999999</v>
      </c>
      <c r="I175" s="453" t="s">
        <v>1858</v>
      </c>
      <c r="J175" s="451"/>
      <c r="K175" s="452"/>
      <c r="L175" s="452"/>
      <c r="M175" s="451" t="s">
        <v>1859</v>
      </c>
    </row>
    <row r="176" spans="1:13" x14ac:dyDescent="0.25">
      <c r="A176" s="1" t="s">
        <v>1897</v>
      </c>
      <c r="B176" s="44" t="s">
        <v>228</v>
      </c>
      <c r="C176" s="44" t="s">
        <v>1899</v>
      </c>
      <c r="D176" s="44" t="s">
        <v>1861</v>
      </c>
      <c r="E176" s="203" t="s">
        <v>1857</v>
      </c>
      <c r="F176" s="203">
        <v>1550</v>
      </c>
      <c r="G176" s="203">
        <v>1550</v>
      </c>
      <c r="H176" s="140">
        <f t="shared" si="6"/>
        <v>2.4024999999999999</v>
      </c>
      <c r="I176" s="453" t="s">
        <v>1858</v>
      </c>
      <c r="J176" s="451"/>
      <c r="K176" s="452"/>
      <c r="L176" s="452"/>
      <c r="M176" s="451" t="s">
        <v>1859</v>
      </c>
    </row>
    <row r="177" spans="1:13" x14ac:dyDescent="0.25">
      <c r="A177" s="1" t="s">
        <v>1897</v>
      </c>
      <c r="B177" s="44" t="s">
        <v>228</v>
      </c>
      <c r="C177" s="44" t="s">
        <v>1900</v>
      </c>
      <c r="D177" s="44" t="s">
        <v>1861</v>
      </c>
      <c r="E177" s="203" t="s">
        <v>1857</v>
      </c>
      <c r="F177" s="203">
        <v>1550</v>
      </c>
      <c r="G177" s="203">
        <v>1550</v>
      </c>
      <c r="H177" s="140">
        <f t="shared" si="6"/>
        <v>2.4024999999999999</v>
      </c>
      <c r="I177" s="453" t="s">
        <v>1858</v>
      </c>
      <c r="J177" s="451"/>
      <c r="K177" s="452"/>
      <c r="L177" s="452"/>
      <c r="M177" s="451" t="s">
        <v>1859</v>
      </c>
    </row>
    <row r="178" spans="1:13" x14ac:dyDescent="0.25">
      <c r="A178" s="1" t="s">
        <v>1897</v>
      </c>
      <c r="B178" s="44" t="s">
        <v>228</v>
      </c>
      <c r="C178" s="44" t="s">
        <v>1899</v>
      </c>
      <c r="D178" s="44" t="s">
        <v>1861</v>
      </c>
      <c r="E178" s="203" t="s">
        <v>1857</v>
      </c>
      <c r="F178" s="203">
        <v>1550</v>
      </c>
      <c r="G178" s="203">
        <v>1550</v>
      </c>
      <c r="H178" s="140">
        <f t="shared" si="6"/>
        <v>2.4024999999999999</v>
      </c>
      <c r="I178" s="453" t="s">
        <v>1858</v>
      </c>
      <c r="J178" s="451"/>
      <c r="K178" s="452"/>
      <c r="L178" s="452"/>
      <c r="M178" s="451" t="s">
        <v>1859</v>
      </c>
    </row>
    <row r="179" spans="1:13" x14ac:dyDescent="0.25">
      <c r="A179" s="1" t="s">
        <v>1897</v>
      </c>
      <c r="B179" s="44" t="s">
        <v>228</v>
      </c>
      <c r="C179" s="44" t="s">
        <v>1899</v>
      </c>
      <c r="D179" s="44" t="s">
        <v>1861</v>
      </c>
      <c r="E179" s="203" t="s">
        <v>1857</v>
      </c>
      <c r="F179" s="203">
        <v>1550</v>
      </c>
      <c r="G179" s="203">
        <v>1550</v>
      </c>
      <c r="H179" s="140">
        <f t="shared" si="6"/>
        <v>2.4024999999999999</v>
      </c>
      <c r="I179" s="453" t="s">
        <v>1858</v>
      </c>
      <c r="J179" s="451"/>
      <c r="K179" s="452"/>
      <c r="L179" s="452"/>
      <c r="M179" s="451" t="s">
        <v>1859</v>
      </c>
    </row>
    <row r="180" spans="1:13" x14ac:dyDescent="0.25">
      <c r="A180" s="1" t="s">
        <v>1904</v>
      </c>
      <c r="B180" s="44" t="s">
        <v>361</v>
      </c>
      <c r="C180" s="44" t="s">
        <v>1898</v>
      </c>
      <c r="D180" s="44" t="s">
        <v>1856</v>
      </c>
      <c r="E180" s="203" t="s">
        <v>1857</v>
      </c>
      <c r="F180" s="203">
        <v>2970</v>
      </c>
      <c r="G180" s="203">
        <v>1100</v>
      </c>
      <c r="H180" s="140">
        <f t="shared" si="6"/>
        <v>3.2669999999999999</v>
      </c>
      <c r="I180" s="453" t="s">
        <v>1858</v>
      </c>
      <c r="J180" s="451"/>
      <c r="K180" s="452"/>
      <c r="L180" s="452"/>
      <c r="M180" s="451" t="s">
        <v>1859</v>
      </c>
    </row>
    <row r="181" spans="1:13" x14ac:dyDescent="0.25">
      <c r="A181" s="1" t="s">
        <v>1904</v>
      </c>
      <c r="B181" s="44" t="s">
        <v>361</v>
      </c>
      <c r="C181" s="44" t="s">
        <v>1863</v>
      </c>
      <c r="D181" s="44" t="s">
        <v>1861</v>
      </c>
      <c r="E181" s="203" t="s">
        <v>1857</v>
      </c>
      <c r="F181" s="203">
        <v>1500</v>
      </c>
      <c r="G181" s="203">
        <v>2300</v>
      </c>
      <c r="H181" s="140">
        <f t="shared" si="6"/>
        <v>3.4499999999999997</v>
      </c>
      <c r="I181" s="453">
        <f>H181</f>
        <v>3.4499999999999997</v>
      </c>
      <c r="J181" s="451"/>
      <c r="K181" s="452"/>
      <c r="L181" s="452"/>
      <c r="M181" s="451" t="s">
        <v>1859</v>
      </c>
    </row>
    <row r="182" spans="1:13" x14ac:dyDescent="0.25">
      <c r="A182" s="1" t="s">
        <v>1904</v>
      </c>
      <c r="B182" s="44" t="s">
        <v>361</v>
      </c>
      <c r="C182" s="44" t="s">
        <v>1878</v>
      </c>
      <c r="D182" s="44" t="s">
        <v>1856</v>
      </c>
      <c r="E182" s="203" t="s">
        <v>1857</v>
      </c>
      <c r="F182" s="203">
        <v>750</v>
      </c>
      <c r="G182" s="203">
        <v>2300</v>
      </c>
      <c r="H182" s="140">
        <f t="shared" si="6"/>
        <v>1.7249999999999999</v>
      </c>
      <c r="I182" s="453">
        <f>H182</f>
        <v>1.7249999999999999</v>
      </c>
      <c r="J182" s="451"/>
      <c r="K182" s="452"/>
      <c r="L182" s="452"/>
      <c r="M182" s="451" t="s">
        <v>1859</v>
      </c>
    </row>
    <row r="183" spans="1:13" x14ac:dyDescent="0.25">
      <c r="A183" s="1" t="s">
        <v>1904</v>
      </c>
      <c r="B183" s="44" t="s">
        <v>361</v>
      </c>
      <c r="C183" s="44" t="s">
        <v>1899</v>
      </c>
      <c r="D183" s="44" t="s">
        <v>1869</v>
      </c>
      <c r="E183" s="203" t="s">
        <v>1857</v>
      </c>
      <c r="F183" s="203">
        <v>1550</v>
      </c>
      <c r="G183" s="203">
        <v>1550</v>
      </c>
      <c r="H183" s="140">
        <f t="shared" si="6"/>
        <v>2.4024999999999999</v>
      </c>
      <c r="I183" s="453" t="s">
        <v>1858</v>
      </c>
      <c r="J183" s="451"/>
      <c r="K183" s="452"/>
      <c r="L183" s="452"/>
      <c r="M183" s="451" t="s">
        <v>1859</v>
      </c>
    </row>
    <row r="184" spans="1:13" x14ac:dyDescent="0.25">
      <c r="A184" s="1" t="s">
        <v>1904</v>
      </c>
      <c r="B184" s="44" t="s">
        <v>361</v>
      </c>
      <c r="C184" s="44" t="s">
        <v>1899</v>
      </c>
      <c r="D184" s="44" t="s">
        <v>1866</v>
      </c>
      <c r="E184" s="203" t="s">
        <v>1857</v>
      </c>
      <c r="F184" s="203">
        <v>1550</v>
      </c>
      <c r="G184" s="203">
        <v>1550</v>
      </c>
      <c r="H184" s="140">
        <f t="shared" si="6"/>
        <v>2.4024999999999999</v>
      </c>
      <c r="I184" s="453" t="s">
        <v>1858</v>
      </c>
      <c r="J184" s="451"/>
      <c r="K184" s="452"/>
      <c r="L184" s="452"/>
      <c r="M184" s="451" t="s">
        <v>1859</v>
      </c>
    </row>
    <row r="185" spans="1:13" x14ac:dyDescent="0.25">
      <c r="A185" s="1" t="s">
        <v>1904</v>
      </c>
      <c r="B185" s="44" t="s">
        <v>361</v>
      </c>
      <c r="C185" s="44" t="s">
        <v>1899</v>
      </c>
      <c r="D185" s="44" t="s">
        <v>1866</v>
      </c>
      <c r="E185" s="203" t="s">
        <v>1857</v>
      </c>
      <c r="F185" s="203">
        <v>1550</v>
      </c>
      <c r="G185" s="203">
        <v>1550</v>
      </c>
      <c r="H185" s="140">
        <f t="shared" si="6"/>
        <v>2.4024999999999999</v>
      </c>
      <c r="I185" s="453" t="s">
        <v>1858</v>
      </c>
      <c r="J185" s="451"/>
      <c r="K185" s="452"/>
      <c r="L185" s="452"/>
      <c r="M185" s="451" t="s">
        <v>1859</v>
      </c>
    </row>
    <row r="186" spans="1:13" x14ac:dyDescent="0.25">
      <c r="A186" s="1" t="s">
        <v>1904</v>
      </c>
      <c r="B186" s="44" t="s">
        <v>361</v>
      </c>
      <c r="C186" s="44" t="s">
        <v>1900</v>
      </c>
      <c r="D186" s="44" t="s">
        <v>1866</v>
      </c>
      <c r="E186" s="203" t="s">
        <v>1857</v>
      </c>
      <c r="F186" s="203">
        <v>1550</v>
      </c>
      <c r="G186" s="203">
        <v>1550</v>
      </c>
      <c r="H186" s="140">
        <f t="shared" si="6"/>
        <v>2.4024999999999999</v>
      </c>
      <c r="I186" s="453" t="s">
        <v>1858</v>
      </c>
      <c r="J186" s="451"/>
      <c r="K186" s="452"/>
      <c r="L186" s="452"/>
      <c r="M186" s="451" t="s">
        <v>1859</v>
      </c>
    </row>
    <row r="187" spans="1:13" x14ac:dyDescent="0.25">
      <c r="A187" s="1" t="s">
        <v>1904</v>
      </c>
      <c r="B187" s="44" t="s">
        <v>361</v>
      </c>
      <c r="C187" s="44" t="s">
        <v>1899</v>
      </c>
      <c r="D187" s="44" t="s">
        <v>1866</v>
      </c>
      <c r="E187" s="203" t="s">
        <v>1857</v>
      </c>
      <c r="F187" s="203">
        <v>1550</v>
      </c>
      <c r="G187" s="203">
        <v>1550</v>
      </c>
      <c r="H187" s="140">
        <f t="shared" si="6"/>
        <v>2.4024999999999999</v>
      </c>
      <c r="I187" s="453" t="s">
        <v>1858</v>
      </c>
      <c r="J187" s="451"/>
      <c r="K187" s="452"/>
      <c r="L187" s="452"/>
      <c r="M187" s="451" t="s">
        <v>1859</v>
      </c>
    </row>
    <row r="188" spans="1:13" x14ac:dyDescent="0.25">
      <c r="A188" s="1" t="s">
        <v>1904</v>
      </c>
      <c r="B188" s="44" t="s">
        <v>361</v>
      </c>
      <c r="C188" s="44" t="s">
        <v>1899</v>
      </c>
      <c r="D188" s="44" t="s">
        <v>1866</v>
      </c>
      <c r="E188" s="203" t="s">
        <v>1857</v>
      </c>
      <c r="F188" s="203">
        <v>1550</v>
      </c>
      <c r="G188" s="203">
        <v>1550</v>
      </c>
      <c r="H188" s="140">
        <f t="shared" si="6"/>
        <v>2.4024999999999999</v>
      </c>
      <c r="I188" s="453" t="s">
        <v>1858</v>
      </c>
      <c r="J188" s="451"/>
      <c r="K188" s="452"/>
      <c r="L188" s="452"/>
      <c r="M188" s="451" t="s">
        <v>1859</v>
      </c>
    </row>
    <row r="189" spans="1:13" x14ac:dyDescent="0.25">
      <c r="A189" s="1" t="s">
        <v>1904</v>
      </c>
      <c r="B189" s="44" t="s">
        <v>361</v>
      </c>
      <c r="C189" s="44" t="s">
        <v>1899</v>
      </c>
      <c r="D189" s="44" t="s">
        <v>1861</v>
      </c>
      <c r="E189" s="203" t="s">
        <v>1857</v>
      </c>
      <c r="F189" s="203">
        <v>1550</v>
      </c>
      <c r="G189" s="203">
        <v>1550</v>
      </c>
      <c r="H189" s="140">
        <f t="shared" si="6"/>
        <v>2.4024999999999999</v>
      </c>
      <c r="I189" s="453" t="s">
        <v>1858</v>
      </c>
      <c r="J189" s="451"/>
      <c r="K189" s="452"/>
      <c r="L189" s="452"/>
      <c r="M189" s="451" t="s">
        <v>1859</v>
      </c>
    </row>
    <row r="190" spans="1:13" x14ac:dyDescent="0.25">
      <c r="A190" s="1" t="s">
        <v>1904</v>
      </c>
      <c r="B190" s="44" t="s">
        <v>361</v>
      </c>
      <c r="C190" s="44" t="s">
        <v>1899</v>
      </c>
      <c r="D190" s="44" t="s">
        <v>1861</v>
      </c>
      <c r="E190" s="203" t="s">
        <v>1857</v>
      </c>
      <c r="F190" s="203">
        <v>1550</v>
      </c>
      <c r="G190" s="203">
        <v>1550</v>
      </c>
      <c r="H190" s="140">
        <f t="shared" si="6"/>
        <v>2.4024999999999999</v>
      </c>
      <c r="I190" s="453" t="s">
        <v>1858</v>
      </c>
      <c r="J190" s="451"/>
      <c r="K190" s="452"/>
      <c r="L190" s="452"/>
      <c r="M190" s="451" t="s">
        <v>1859</v>
      </c>
    </row>
    <row r="191" spans="1:13" x14ac:dyDescent="0.25">
      <c r="A191" s="1" t="s">
        <v>1904</v>
      </c>
      <c r="B191" s="44" t="s">
        <v>361</v>
      </c>
      <c r="C191" s="44" t="s">
        <v>1900</v>
      </c>
      <c r="D191" s="44" t="s">
        <v>1861</v>
      </c>
      <c r="E191" s="203" t="s">
        <v>1857</v>
      </c>
      <c r="F191" s="203">
        <v>1550</v>
      </c>
      <c r="G191" s="203">
        <v>1550</v>
      </c>
      <c r="H191" s="140">
        <f t="shared" si="6"/>
        <v>2.4024999999999999</v>
      </c>
      <c r="I191" s="453" t="s">
        <v>1858</v>
      </c>
      <c r="J191" s="451"/>
      <c r="K191" s="452"/>
      <c r="L191" s="452"/>
      <c r="M191" s="451" t="s">
        <v>1859</v>
      </c>
    </row>
    <row r="192" spans="1:13" x14ac:dyDescent="0.25">
      <c r="A192" s="1" t="s">
        <v>1904</v>
      </c>
      <c r="B192" s="44" t="s">
        <v>361</v>
      </c>
      <c r="C192" s="44" t="s">
        <v>1899</v>
      </c>
      <c r="D192" s="44" t="s">
        <v>1861</v>
      </c>
      <c r="E192" s="203" t="s">
        <v>1857</v>
      </c>
      <c r="F192" s="203">
        <v>1550</v>
      </c>
      <c r="G192" s="203">
        <v>1550</v>
      </c>
      <c r="H192" s="140">
        <f t="shared" si="6"/>
        <v>2.4024999999999999</v>
      </c>
      <c r="I192" s="453" t="s">
        <v>1858</v>
      </c>
      <c r="J192" s="451"/>
      <c r="K192" s="452"/>
      <c r="L192" s="452"/>
      <c r="M192" s="451" t="s">
        <v>1859</v>
      </c>
    </row>
    <row r="193" spans="1:13" x14ac:dyDescent="0.25">
      <c r="A193" s="1" t="s">
        <v>1904</v>
      </c>
      <c r="B193" s="44" t="s">
        <v>361</v>
      </c>
      <c r="C193" s="44" t="s">
        <v>1899</v>
      </c>
      <c r="D193" s="44" t="s">
        <v>1861</v>
      </c>
      <c r="E193" s="203" t="s">
        <v>1857</v>
      </c>
      <c r="F193" s="203">
        <v>1550</v>
      </c>
      <c r="G193" s="203">
        <v>1550</v>
      </c>
      <c r="H193" s="140">
        <f t="shared" si="6"/>
        <v>2.4024999999999999</v>
      </c>
      <c r="I193" s="453" t="s">
        <v>1858</v>
      </c>
      <c r="J193" s="451"/>
      <c r="K193" s="452"/>
      <c r="L193" s="452"/>
      <c r="M193" s="451" t="s">
        <v>1859</v>
      </c>
    </row>
    <row r="194" spans="1:13" x14ac:dyDescent="0.25">
      <c r="A194" s="1" t="s">
        <v>1904</v>
      </c>
      <c r="B194" s="44" t="s">
        <v>361</v>
      </c>
      <c r="C194" s="44" t="s">
        <v>1901</v>
      </c>
      <c r="D194" s="44" t="s">
        <v>1869</v>
      </c>
      <c r="E194" s="203" t="s">
        <v>1857</v>
      </c>
      <c r="F194" s="203">
        <v>750</v>
      </c>
      <c r="G194" s="203">
        <v>2300</v>
      </c>
      <c r="H194" s="140">
        <f t="shared" si="6"/>
        <v>1.7249999999999999</v>
      </c>
      <c r="I194" s="453" t="s">
        <v>1858</v>
      </c>
      <c r="J194" s="451"/>
      <c r="K194" s="452"/>
      <c r="L194" s="452"/>
      <c r="M194" s="451" t="s">
        <v>1859</v>
      </c>
    </row>
    <row r="195" spans="1:13" x14ac:dyDescent="0.25">
      <c r="A195" s="1" t="s">
        <v>1904</v>
      </c>
      <c r="B195" s="44" t="s">
        <v>361</v>
      </c>
      <c r="C195" s="44" t="s">
        <v>1901</v>
      </c>
      <c r="D195" s="44" t="s">
        <v>1869</v>
      </c>
      <c r="E195" s="203" t="s">
        <v>1857</v>
      </c>
      <c r="F195" s="203">
        <v>750</v>
      </c>
      <c r="G195" s="203">
        <v>2300</v>
      </c>
      <c r="H195" s="140">
        <f t="shared" si="6"/>
        <v>1.7249999999999999</v>
      </c>
      <c r="I195" s="453" t="s">
        <v>1858</v>
      </c>
      <c r="J195" s="451"/>
      <c r="K195" s="452"/>
      <c r="L195" s="452"/>
      <c r="M195" s="451" t="s">
        <v>1859</v>
      </c>
    </row>
    <row r="196" spans="1:13" x14ac:dyDescent="0.25">
      <c r="A196" s="1" t="s">
        <v>1904</v>
      </c>
      <c r="B196" s="44" t="s">
        <v>361</v>
      </c>
      <c r="C196" s="44" t="s">
        <v>1901</v>
      </c>
      <c r="D196" s="44" t="s">
        <v>1869</v>
      </c>
      <c r="E196" s="203" t="s">
        <v>1857</v>
      </c>
      <c r="F196" s="203">
        <v>750</v>
      </c>
      <c r="G196" s="203">
        <v>2300</v>
      </c>
      <c r="H196" s="140">
        <f t="shared" si="6"/>
        <v>1.7249999999999999</v>
      </c>
      <c r="I196" s="453" t="s">
        <v>1858</v>
      </c>
      <c r="J196" s="451"/>
      <c r="K196" s="452"/>
      <c r="L196" s="452"/>
      <c r="M196" s="451" t="s">
        <v>1859</v>
      </c>
    </row>
    <row r="197" spans="1:13" x14ac:dyDescent="0.25">
      <c r="A197" s="1" t="s">
        <v>1904</v>
      </c>
      <c r="B197" s="44" t="s">
        <v>361</v>
      </c>
      <c r="C197" s="44" t="s">
        <v>1901</v>
      </c>
      <c r="D197" s="44" t="s">
        <v>1869</v>
      </c>
      <c r="E197" s="203" t="s">
        <v>1857</v>
      </c>
      <c r="F197" s="203">
        <v>750</v>
      </c>
      <c r="G197" s="203">
        <v>2300</v>
      </c>
      <c r="H197" s="140">
        <f t="shared" si="6"/>
        <v>1.7249999999999999</v>
      </c>
      <c r="I197" s="453" t="s">
        <v>1858</v>
      </c>
      <c r="J197" s="451"/>
      <c r="K197" s="452"/>
      <c r="L197" s="452"/>
      <c r="M197" s="451" t="s">
        <v>1859</v>
      </c>
    </row>
    <row r="198" spans="1:13" x14ac:dyDescent="0.25">
      <c r="A198" s="1" t="s">
        <v>1904</v>
      </c>
      <c r="B198" s="44" t="s">
        <v>361</v>
      </c>
      <c r="C198" s="44" t="s">
        <v>1902</v>
      </c>
      <c r="D198" s="44" t="s">
        <v>1869</v>
      </c>
      <c r="E198" s="203" t="s">
        <v>1857</v>
      </c>
      <c r="F198" s="203">
        <v>1500</v>
      </c>
      <c r="G198" s="203">
        <v>2300</v>
      </c>
      <c r="H198" s="140">
        <f t="shared" si="6"/>
        <v>3.4499999999999997</v>
      </c>
      <c r="I198" s="453" t="s">
        <v>1858</v>
      </c>
      <c r="J198" s="451"/>
      <c r="K198" s="452"/>
      <c r="L198" s="452"/>
      <c r="M198" s="451" t="s">
        <v>1859</v>
      </c>
    </row>
    <row r="199" spans="1:13" x14ac:dyDescent="0.25">
      <c r="A199" s="1" t="s">
        <v>1904</v>
      </c>
      <c r="B199" s="44" t="s">
        <v>361</v>
      </c>
      <c r="C199" s="44" t="s">
        <v>1901</v>
      </c>
      <c r="D199" s="44" t="s">
        <v>1869</v>
      </c>
      <c r="E199" s="203" t="s">
        <v>1857</v>
      </c>
      <c r="F199" s="203">
        <v>750</v>
      </c>
      <c r="G199" s="203">
        <v>2300</v>
      </c>
      <c r="H199" s="140">
        <f t="shared" si="6"/>
        <v>1.7249999999999999</v>
      </c>
      <c r="I199" s="453" t="s">
        <v>1858</v>
      </c>
      <c r="J199" s="451"/>
      <c r="K199" s="452"/>
      <c r="L199" s="452"/>
      <c r="M199" s="451" t="s">
        <v>1859</v>
      </c>
    </row>
    <row r="200" spans="1:13" x14ac:dyDescent="0.25">
      <c r="A200" s="1" t="s">
        <v>1904</v>
      </c>
      <c r="B200" s="44" t="s">
        <v>361</v>
      </c>
      <c r="C200" s="44" t="s">
        <v>1901</v>
      </c>
      <c r="D200" s="44" t="s">
        <v>1869</v>
      </c>
      <c r="E200" s="203" t="s">
        <v>1857</v>
      </c>
      <c r="F200" s="203">
        <v>750</v>
      </c>
      <c r="G200" s="203">
        <v>2300</v>
      </c>
      <c r="H200" s="140">
        <f t="shared" si="6"/>
        <v>1.7249999999999999</v>
      </c>
      <c r="I200" s="453" t="s">
        <v>1858</v>
      </c>
      <c r="J200" s="451"/>
      <c r="K200" s="452"/>
      <c r="L200" s="452"/>
      <c r="M200" s="451" t="s">
        <v>1859</v>
      </c>
    </row>
    <row r="201" spans="1:13" x14ac:dyDescent="0.25">
      <c r="A201" s="1" t="s">
        <v>1904</v>
      </c>
      <c r="B201" s="44" t="s">
        <v>361</v>
      </c>
      <c r="C201" s="44" t="s">
        <v>1901</v>
      </c>
      <c r="D201" s="44" t="s">
        <v>1869</v>
      </c>
      <c r="E201" s="203" t="s">
        <v>1857</v>
      </c>
      <c r="F201" s="203">
        <v>750</v>
      </c>
      <c r="G201" s="203">
        <v>2300</v>
      </c>
      <c r="H201" s="140">
        <f t="shared" si="6"/>
        <v>1.7249999999999999</v>
      </c>
      <c r="I201" s="453" t="s">
        <v>1858</v>
      </c>
      <c r="J201" s="451"/>
      <c r="K201" s="452"/>
      <c r="L201" s="452"/>
      <c r="M201" s="451" t="s">
        <v>1859</v>
      </c>
    </row>
    <row r="202" spans="1:13" x14ac:dyDescent="0.25">
      <c r="A202" s="1" t="s">
        <v>1904</v>
      </c>
      <c r="B202" s="44" t="s">
        <v>361</v>
      </c>
      <c r="C202" s="44" t="s">
        <v>1901</v>
      </c>
      <c r="D202" s="44" t="s">
        <v>1869</v>
      </c>
      <c r="E202" s="203" t="s">
        <v>1857</v>
      </c>
      <c r="F202" s="203">
        <v>750</v>
      </c>
      <c r="G202" s="203">
        <v>2300</v>
      </c>
      <c r="H202" s="140">
        <f t="shared" si="6"/>
        <v>1.7249999999999999</v>
      </c>
      <c r="I202" s="453" t="s">
        <v>1858</v>
      </c>
      <c r="J202" s="451"/>
      <c r="K202" s="452"/>
      <c r="L202" s="452"/>
      <c r="M202" s="451" t="s">
        <v>1859</v>
      </c>
    </row>
    <row r="203" spans="1:13" x14ac:dyDescent="0.25">
      <c r="A203" s="1" t="s">
        <v>1904</v>
      </c>
      <c r="B203" s="44" t="s">
        <v>361</v>
      </c>
      <c r="C203" s="44" t="s">
        <v>1902</v>
      </c>
      <c r="D203" s="44" t="s">
        <v>1869</v>
      </c>
      <c r="E203" s="203" t="s">
        <v>1857</v>
      </c>
      <c r="F203" s="203">
        <v>1500</v>
      </c>
      <c r="G203" s="203">
        <v>2300</v>
      </c>
      <c r="H203" s="140">
        <f t="shared" si="6"/>
        <v>3.4499999999999997</v>
      </c>
      <c r="I203" s="453" t="s">
        <v>1858</v>
      </c>
      <c r="J203" s="451"/>
      <c r="K203" s="452"/>
      <c r="L203" s="452"/>
      <c r="M203" s="451" t="s">
        <v>1859</v>
      </c>
    </row>
    <row r="204" spans="1:13" x14ac:dyDescent="0.25">
      <c r="A204" s="1" t="s">
        <v>1904</v>
      </c>
      <c r="B204" s="44" t="s">
        <v>361</v>
      </c>
      <c r="C204" s="44" t="s">
        <v>1905</v>
      </c>
      <c r="D204" s="44" t="s">
        <v>1869</v>
      </c>
      <c r="E204" s="203" t="s">
        <v>1857</v>
      </c>
      <c r="F204" s="203">
        <v>3070</v>
      </c>
      <c r="G204" s="203">
        <v>1100</v>
      </c>
      <c r="H204" s="140">
        <f t="shared" si="6"/>
        <v>3.3769999999999998</v>
      </c>
      <c r="I204" s="453" t="s">
        <v>1858</v>
      </c>
      <c r="J204" s="451"/>
      <c r="K204" s="452"/>
      <c r="L204" s="452"/>
      <c r="M204" s="451" t="s">
        <v>1859</v>
      </c>
    </row>
    <row r="205" spans="1:13" x14ac:dyDescent="0.25">
      <c r="A205" s="1" t="s">
        <v>1904</v>
      </c>
      <c r="B205" s="44" t="s">
        <v>278</v>
      </c>
      <c r="C205" s="44" t="s">
        <v>1891</v>
      </c>
      <c r="D205" s="44" t="s">
        <v>1866</v>
      </c>
      <c r="E205" s="203" t="s">
        <v>1857</v>
      </c>
      <c r="F205" s="203">
        <v>5250</v>
      </c>
      <c r="G205" s="203">
        <v>2300</v>
      </c>
      <c r="H205" s="140">
        <f t="shared" si="6"/>
        <v>12.074999999999999</v>
      </c>
      <c r="I205" s="203" t="s">
        <v>1858</v>
      </c>
      <c r="J205" s="451"/>
      <c r="K205" s="452"/>
      <c r="L205" s="452"/>
      <c r="M205" s="451" t="s">
        <v>1859</v>
      </c>
    </row>
    <row r="206" spans="1:13" x14ac:dyDescent="0.25">
      <c r="A206" s="1" t="s">
        <v>1904</v>
      </c>
      <c r="B206" s="44" t="s">
        <v>278</v>
      </c>
      <c r="C206" s="44" t="s">
        <v>1892</v>
      </c>
      <c r="D206" s="44" t="s">
        <v>1866</v>
      </c>
      <c r="E206" s="203" t="s">
        <v>1857</v>
      </c>
      <c r="F206" s="203">
        <v>5250</v>
      </c>
      <c r="G206" s="203">
        <v>2300</v>
      </c>
      <c r="H206" s="140">
        <f t="shared" si="6"/>
        <v>12.074999999999999</v>
      </c>
      <c r="I206" s="203" t="s">
        <v>1858</v>
      </c>
      <c r="J206" s="451"/>
      <c r="K206" s="452"/>
      <c r="L206" s="452"/>
      <c r="M206" s="451" t="s">
        <v>1859</v>
      </c>
    </row>
    <row r="207" spans="1:13" x14ac:dyDescent="0.25">
      <c r="A207" s="1" t="s">
        <v>1904</v>
      </c>
      <c r="B207" s="44" t="s">
        <v>278</v>
      </c>
      <c r="C207" s="44" t="s">
        <v>1891</v>
      </c>
      <c r="D207" s="44" t="s">
        <v>1866</v>
      </c>
      <c r="E207" s="203" t="s">
        <v>1857</v>
      </c>
      <c r="F207" s="203">
        <v>5250</v>
      </c>
      <c r="G207" s="203">
        <v>2300</v>
      </c>
      <c r="H207" s="140">
        <f t="shared" si="6"/>
        <v>12.074999999999999</v>
      </c>
      <c r="I207" s="203" t="s">
        <v>1858</v>
      </c>
      <c r="J207" s="451"/>
      <c r="K207" s="452"/>
      <c r="L207" s="452"/>
      <c r="M207" s="451" t="s">
        <v>1859</v>
      </c>
    </row>
    <row r="208" spans="1:13" x14ac:dyDescent="0.25">
      <c r="A208" s="1" t="s">
        <v>1904</v>
      </c>
      <c r="B208" s="44" t="s">
        <v>278</v>
      </c>
      <c r="C208" s="44" t="s">
        <v>1863</v>
      </c>
      <c r="D208" s="44" t="s">
        <v>1861</v>
      </c>
      <c r="E208" s="203" t="s">
        <v>1857</v>
      </c>
      <c r="F208" s="203">
        <v>1500</v>
      </c>
      <c r="G208" s="203">
        <v>2300</v>
      </c>
      <c r="H208" s="140">
        <f t="shared" si="6"/>
        <v>3.4499999999999997</v>
      </c>
      <c r="I208" s="453">
        <f>H208</f>
        <v>3.4499999999999997</v>
      </c>
      <c r="J208" s="451"/>
      <c r="K208" s="452"/>
      <c r="L208" s="452"/>
      <c r="M208" s="451" t="s">
        <v>1859</v>
      </c>
    </row>
    <row r="209" spans="1:13" x14ac:dyDescent="0.25">
      <c r="A209" s="1" t="s">
        <v>1904</v>
      </c>
      <c r="B209" s="44" t="s">
        <v>278</v>
      </c>
      <c r="C209" s="44" t="s">
        <v>1863</v>
      </c>
      <c r="D209" s="44" t="s">
        <v>1861</v>
      </c>
      <c r="E209" s="203" t="s">
        <v>1857</v>
      </c>
      <c r="F209" s="203">
        <v>1500</v>
      </c>
      <c r="G209" s="203">
        <v>2300</v>
      </c>
      <c r="H209" s="140">
        <f t="shared" si="6"/>
        <v>3.4499999999999997</v>
      </c>
      <c r="I209" s="453">
        <f>H209</f>
        <v>3.4499999999999997</v>
      </c>
      <c r="J209" s="451"/>
      <c r="K209" s="452"/>
      <c r="L209" s="452"/>
      <c r="M209" s="451" t="s">
        <v>1859</v>
      </c>
    </row>
    <row r="210" spans="1:13" x14ac:dyDescent="0.25">
      <c r="A210" s="1" t="s">
        <v>1904</v>
      </c>
      <c r="B210" s="44" t="s">
        <v>278</v>
      </c>
      <c r="C210" s="44" t="s">
        <v>1902</v>
      </c>
      <c r="D210" s="44" t="s">
        <v>1856</v>
      </c>
      <c r="E210" s="203" t="s">
        <v>1857</v>
      </c>
      <c r="F210" s="203">
        <v>1500</v>
      </c>
      <c r="G210" s="203">
        <v>2300</v>
      </c>
      <c r="H210" s="140">
        <f t="shared" si="6"/>
        <v>3.4499999999999997</v>
      </c>
      <c r="I210" s="453">
        <f>H210</f>
        <v>3.4499999999999997</v>
      </c>
      <c r="J210" s="451"/>
      <c r="K210" s="452"/>
      <c r="L210" s="452"/>
      <c r="M210" s="451" t="s">
        <v>1859</v>
      </c>
    </row>
    <row r="211" spans="1:13" x14ac:dyDescent="0.25">
      <c r="A211" s="1" t="s">
        <v>1904</v>
      </c>
      <c r="B211" s="44" t="s">
        <v>278</v>
      </c>
      <c r="C211" s="44" t="s">
        <v>1902</v>
      </c>
      <c r="D211" s="44" t="s">
        <v>1869</v>
      </c>
      <c r="E211" s="203" t="s">
        <v>1857</v>
      </c>
      <c r="F211" s="203">
        <v>1500</v>
      </c>
      <c r="G211" s="203">
        <v>2300</v>
      </c>
      <c r="H211" s="140">
        <f t="shared" si="6"/>
        <v>3.4499999999999997</v>
      </c>
      <c r="I211" s="453" t="s">
        <v>1858</v>
      </c>
      <c r="J211" s="451"/>
      <c r="K211" s="452"/>
      <c r="L211" s="452"/>
      <c r="M211" s="451" t="s">
        <v>1859</v>
      </c>
    </row>
    <row r="212" spans="1:13" x14ac:dyDescent="0.25">
      <c r="A212" s="1" t="s">
        <v>1904</v>
      </c>
      <c r="B212" s="44" t="s">
        <v>278</v>
      </c>
      <c r="C212" s="44" t="s">
        <v>1863</v>
      </c>
      <c r="D212" s="44" t="s">
        <v>1861</v>
      </c>
      <c r="E212" s="203" t="s">
        <v>1857</v>
      </c>
      <c r="F212" s="203">
        <v>1500</v>
      </c>
      <c r="G212" s="203">
        <v>2300</v>
      </c>
      <c r="H212" s="140">
        <f t="shared" si="6"/>
        <v>3.4499999999999997</v>
      </c>
      <c r="I212" s="453" t="s">
        <v>1858</v>
      </c>
      <c r="J212" s="451"/>
      <c r="K212" s="452"/>
      <c r="L212" s="452"/>
      <c r="M212" s="451" t="s">
        <v>1859</v>
      </c>
    </row>
    <row r="213" spans="1:13" x14ac:dyDescent="0.25">
      <c r="A213" s="1" t="s">
        <v>1904</v>
      </c>
      <c r="B213" s="44" t="s">
        <v>278</v>
      </c>
      <c r="C213" s="44" t="s">
        <v>1863</v>
      </c>
      <c r="D213" s="44" t="s">
        <v>1861</v>
      </c>
      <c r="E213" s="203" t="s">
        <v>1857</v>
      </c>
      <c r="F213" s="203">
        <v>1500</v>
      </c>
      <c r="G213" s="203">
        <v>2300</v>
      </c>
      <c r="H213" s="140">
        <f t="shared" si="6"/>
        <v>3.4499999999999997</v>
      </c>
      <c r="I213" s="453" t="s">
        <v>1858</v>
      </c>
      <c r="J213" s="451"/>
      <c r="K213" s="452"/>
      <c r="L213" s="452"/>
      <c r="M213" s="451" t="s">
        <v>1859</v>
      </c>
    </row>
    <row r="214" spans="1:13" x14ac:dyDescent="0.25">
      <c r="A214" s="1" t="s">
        <v>1904</v>
      </c>
      <c r="B214" s="44" t="s">
        <v>228</v>
      </c>
      <c r="C214" s="44" t="s">
        <v>1899</v>
      </c>
      <c r="D214" s="44" t="s">
        <v>1866</v>
      </c>
      <c r="E214" s="203" t="s">
        <v>1857</v>
      </c>
      <c r="F214" s="203">
        <v>1550</v>
      </c>
      <c r="G214" s="203">
        <v>1550</v>
      </c>
      <c r="H214" s="140">
        <f t="shared" si="6"/>
        <v>2.4024999999999999</v>
      </c>
      <c r="I214" s="453" t="s">
        <v>1858</v>
      </c>
      <c r="J214" s="451"/>
      <c r="K214" s="452"/>
      <c r="L214" s="452"/>
      <c r="M214" s="451" t="s">
        <v>1859</v>
      </c>
    </row>
    <row r="215" spans="1:13" x14ac:dyDescent="0.25">
      <c r="A215" s="1" t="s">
        <v>1904</v>
      </c>
      <c r="B215" s="44" t="s">
        <v>228</v>
      </c>
      <c r="C215" s="44" t="s">
        <v>1899</v>
      </c>
      <c r="D215" s="44" t="s">
        <v>1866</v>
      </c>
      <c r="E215" s="203" t="s">
        <v>1857</v>
      </c>
      <c r="F215" s="203">
        <v>1550</v>
      </c>
      <c r="G215" s="203">
        <v>1550</v>
      </c>
      <c r="H215" s="140">
        <f t="shared" si="6"/>
        <v>2.4024999999999999</v>
      </c>
      <c r="I215" s="453" t="s">
        <v>1858</v>
      </c>
      <c r="J215" s="451"/>
      <c r="K215" s="452"/>
      <c r="L215" s="452"/>
      <c r="M215" s="451" t="s">
        <v>1859</v>
      </c>
    </row>
    <row r="216" spans="1:13" x14ac:dyDescent="0.25">
      <c r="A216" s="1" t="s">
        <v>1904</v>
      </c>
      <c r="B216" s="44" t="s">
        <v>228</v>
      </c>
      <c r="C216" s="44" t="s">
        <v>1900</v>
      </c>
      <c r="D216" s="44" t="s">
        <v>1866</v>
      </c>
      <c r="E216" s="203" t="s">
        <v>1857</v>
      </c>
      <c r="F216" s="203">
        <v>1550</v>
      </c>
      <c r="G216" s="203">
        <v>1550</v>
      </c>
      <c r="H216" s="140">
        <f t="shared" si="6"/>
        <v>2.4024999999999999</v>
      </c>
      <c r="I216" s="453" t="s">
        <v>1858</v>
      </c>
      <c r="J216" s="451"/>
      <c r="K216" s="452"/>
      <c r="L216" s="452"/>
      <c r="M216" s="451" t="s">
        <v>1859</v>
      </c>
    </row>
    <row r="217" spans="1:13" x14ac:dyDescent="0.25">
      <c r="A217" s="1" t="s">
        <v>1904</v>
      </c>
      <c r="B217" s="44" t="s">
        <v>228</v>
      </c>
      <c r="C217" s="44" t="s">
        <v>1899</v>
      </c>
      <c r="D217" s="44" t="s">
        <v>1866</v>
      </c>
      <c r="E217" s="203" t="s">
        <v>1857</v>
      </c>
      <c r="F217" s="203">
        <v>1550</v>
      </c>
      <c r="G217" s="203">
        <v>1550</v>
      </c>
      <c r="H217" s="140">
        <f t="shared" si="6"/>
        <v>2.4024999999999999</v>
      </c>
      <c r="I217" s="453" t="s">
        <v>1858</v>
      </c>
      <c r="J217" s="451"/>
      <c r="K217" s="452"/>
      <c r="L217" s="452"/>
      <c r="M217" s="451" t="s">
        <v>1859</v>
      </c>
    </row>
    <row r="218" spans="1:13" x14ac:dyDescent="0.25">
      <c r="A218" s="1" t="s">
        <v>1904</v>
      </c>
      <c r="B218" s="44" t="s">
        <v>228</v>
      </c>
      <c r="C218" s="44" t="s">
        <v>1899</v>
      </c>
      <c r="D218" s="44" t="s">
        <v>1866</v>
      </c>
      <c r="E218" s="203" t="s">
        <v>1857</v>
      </c>
      <c r="F218" s="203">
        <v>1550</v>
      </c>
      <c r="G218" s="203">
        <v>1550</v>
      </c>
      <c r="H218" s="140">
        <f t="shared" si="6"/>
        <v>2.4024999999999999</v>
      </c>
      <c r="I218" s="453" t="s">
        <v>1858</v>
      </c>
      <c r="J218" s="451"/>
      <c r="K218" s="452"/>
      <c r="L218" s="452"/>
      <c r="M218" s="451" t="s">
        <v>1859</v>
      </c>
    </row>
    <row r="219" spans="1:13" x14ac:dyDescent="0.25">
      <c r="A219" s="1" t="s">
        <v>1904</v>
      </c>
      <c r="B219" s="44" t="s">
        <v>228</v>
      </c>
      <c r="C219" s="44" t="s">
        <v>1899</v>
      </c>
      <c r="D219" s="44" t="s">
        <v>1856</v>
      </c>
      <c r="E219" s="203" t="s">
        <v>1857</v>
      </c>
      <c r="F219" s="203">
        <v>1550</v>
      </c>
      <c r="G219" s="203">
        <v>1550</v>
      </c>
      <c r="H219" s="140">
        <f t="shared" si="6"/>
        <v>2.4024999999999999</v>
      </c>
      <c r="I219" s="453" t="s">
        <v>1858</v>
      </c>
      <c r="J219" s="451"/>
      <c r="K219" s="452"/>
      <c r="L219" s="452"/>
      <c r="M219" s="451" t="s">
        <v>1859</v>
      </c>
    </row>
    <row r="220" spans="1:13" x14ac:dyDescent="0.25">
      <c r="A220" s="1" t="s">
        <v>1904</v>
      </c>
      <c r="B220" s="44" t="s">
        <v>228</v>
      </c>
      <c r="C220" s="44" t="s">
        <v>1878</v>
      </c>
      <c r="D220" s="44" t="s">
        <v>1869</v>
      </c>
      <c r="E220" s="203" t="s">
        <v>1857</v>
      </c>
      <c r="F220" s="203">
        <v>750</v>
      </c>
      <c r="G220" s="203">
        <v>2300</v>
      </c>
      <c r="H220" s="140">
        <f t="shared" si="6"/>
        <v>1.7249999999999999</v>
      </c>
      <c r="I220" s="453" t="s">
        <v>1858</v>
      </c>
      <c r="J220" s="451"/>
      <c r="K220" s="452"/>
      <c r="L220" s="452"/>
      <c r="M220" s="451" t="s">
        <v>1859</v>
      </c>
    </row>
    <row r="221" spans="1:13" x14ac:dyDescent="0.25">
      <c r="A221" s="1" t="s">
        <v>1904</v>
      </c>
      <c r="B221" s="44" t="s">
        <v>228</v>
      </c>
      <c r="C221" s="44" t="s">
        <v>1863</v>
      </c>
      <c r="D221" s="44" t="s">
        <v>1861</v>
      </c>
      <c r="E221" s="203" t="s">
        <v>1857</v>
      </c>
      <c r="F221" s="203">
        <v>1500</v>
      </c>
      <c r="G221" s="203">
        <v>2300</v>
      </c>
      <c r="H221" s="140">
        <f t="shared" si="6"/>
        <v>3.4499999999999997</v>
      </c>
      <c r="I221" s="453" t="s">
        <v>1858</v>
      </c>
      <c r="J221" s="451"/>
      <c r="K221" s="452"/>
      <c r="L221" s="452"/>
      <c r="M221" s="451" t="s">
        <v>1859</v>
      </c>
    </row>
    <row r="222" spans="1:13" x14ac:dyDescent="0.25">
      <c r="A222" s="1" t="s">
        <v>1904</v>
      </c>
      <c r="B222" s="44" t="s">
        <v>228</v>
      </c>
      <c r="C222" s="44" t="s">
        <v>1906</v>
      </c>
      <c r="D222" s="44" t="s">
        <v>1869</v>
      </c>
      <c r="E222" s="203" t="s">
        <v>1857</v>
      </c>
      <c r="F222" s="203">
        <v>2970</v>
      </c>
      <c r="G222" s="203">
        <v>1100</v>
      </c>
      <c r="H222" s="140">
        <f t="shared" si="6"/>
        <v>3.2669999999999999</v>
      </c>
      <c r="I222" s="453" t="s">
        <v>1858</v>
      </c>
      <c r="J222" s="451"/>
      <c r="K222" s="452"/>
      <c r="L222" s="452"/>
      <c r="M222" s="451" t="s">
        <v>1859</v>
      </c>
    </row>
    <row r="223" spans="1:13" x14ac:dyDescent="0.25">
      <c r="A223" s="1" t="s">
        <v>1904</v>
      </c>
      <c r="B223" s="44" t="s">
        <v>228</v>
      </c>
      <c r="C223" s="44" t="s">
        <v>1905</v>
      </c>
      <c r="D223" s="44" t="s">
        <v>1856</v>
      </c>
      <c r="E223" s="203" t="s">
        <v>1857</v>
      </c>
      <c r="F223" s="203">
        <v>3070</v>
      </c>
      <c r="G223" s="203">
        <v>1100</v>
      </c>
      <c r="H223" s="140">
        <f t="shared" si="6"/>
        <v>3.3769999999999998</v>
      </c>
      <c r="I223" s="453" t="s">
        <v>1858</v>
      </c>
      <c r="J223" s="451"/>
      <c r="K223" s="452"/>
      <c r="L223" s="452"/>
      <c r="M223" s="451" t="s">
        <v>1859</v>
      </c>
    </row>
    <row r="224" spans="1:13" x14ac:dyDescent="0.25">
      <c r="A224" s="1" t="s">
        <v>1904</v>
      </c>
      <c r="B224" s="44" t="s">
        <v>228</v>
      </c>
      <c r="C224" s="44" t="s">
        <v>1902</v>
      </c>
      <c r="D224" s="44" t="s">
        <v>1856</v>
      </c>
      <c r="E224" s="203" t="s">
        <v>1857</v>
      </c>
      <c r="F224" s="203">
        <v>1500</v>
      </c>
      <c r="G224" s="203">
        <v>2300</v>
      </c>
      <c r="H224" s="140">
        <f t="shared" si="6"/>
        <v>3.4499999999999997</v>
      </c>
      <c r="I224" s="453">
        <f t="shared" ref="I224:I233" si="7">H224</f>
        <v>3.4499999999999997</v>
      </c>
      <c r="J224" s="451"/>
      <c r="K224" s="452"/>
      <c r="L224" s="452"/>
      <c r="M224" s="451" t="s">
        <v>1859</v>
      </c>
    </row>
    <row r="225" spans="1:13" x14ac:dyDescent="0.25">
      <c r="A225" s="1" t="s">
        <v>1904</v>
      </c>
      <c r="B225" s="44" t="s">
        <v>228</v>
      </c>
      <c r="C225" s="44" t="s">
        <v>1901</v>
      </c>
      <c r="D225" s="44" t="s">
        <v>1856</v>
      </c>
      <c r="E225" s="203" t="s">
        <v>1857</v>
      </c>
      <c r="F225" s="203">
        <v>750</v>
      </c>
      <c r="G225" s="203">
        <v>2300</v>
      </c>
      <c r="H225" s="140">
        <f t="shared" si="6"/>
        <v>1.7249999999999999</v>
      </c>
      <c r="I225" s="453">
        <f t="shared" si="7"/>
        <v>1.7249999999999999</v>
      </c>
      <c r="J225" s="451"/>
      <c r="K225" s="452"/>
      <c r="L225" s="452"/>
      <c r="M225" s="451" t="s">
        <v>1859</v>
      </c>
    </row>
    <row r="226" spans="1:13" x14ac:dyDescent="0.25">
      <c r="A226" s="1" t="s">
        <v>1904</v>
      </c>
      <c r="B226" s="44" t="s">
        <v>228</v>
      </c>
      <c r="C226" s="44" t="s">
        <v>1901</v>
      </c>
      <c r="D226" s="44" t="s">
        <v>1856</v>
      </c>
      <c r="E226" s="203" t="s">
        <v>1857</v>
      </c>
      <c r="F226" s="203">
        <v>750</v>
      </c>
      <c r="G226" s="203">
        <v>2300</v>
      </c>
      <c r="H226" s="140">
        <f t="shared" si="6"/>
        <v>1.7249999999999999</v>
      </c>
      <c r="I226" s="453">
        <f t="shared" si="7"/>
        <v>1.7249999999999999</v>
      </c>
      <c r="J226" s="451"/>
      <c r="K226" s="452"/>
      <c r="L226" s="452"/>
      <c r="M226" s="451" t="s">
        <v>1859</v>
      </c>
    </row>
    <row r="227" spans="1:13" x14ac:dyDescent="0.25">
      <c r="A227" s="1" t="s">
        <v>1904</v>
      </c>
      <c r="B227" s="44" t="s">
        <v>228</v>
      </c>
      <c r="C227" s="44" t="s">
        <v>1901</v>
      </c>
      <c r="D227" s="44" t="s">
        <v>1856</v>
      </c>
      <c r="E227" s="203" t="s">
        <v>1857</v>
      </c>
      <c r="F227" s="203">
        <v>750</v>
      </c>
      <c r="G227" s="203">
        <v>2300</v>
      </c>
      <c r="H227" s="140">
        <f t="shared" si="6"/>
        <v>1.7249999999999999</v>
      </c>
      <c r="I227" s="453">
        <f t="shared" si="7"/>
        <v>1.7249999999999999</v>
      </c>
      <c r="J227" s="451"/>
      <c r="K227" s="452"/>
      <c r="L227" s="452"/>
      <c r="M227" s="451" t="s">
        <v>1859</v>
      </c>
    </row>
    <row r="228" spans="1:13" x14ac:dyDescent="0.25">
      <c r="A228" s="1" t="s">
        <v>1904</v>
      </c>
      <c r="B228" s="44" t="s">
        <v>228</v>
      </c>
      <c r="C228" s="44" t="s">
        <v>1901</v>
      </c>
      <c r="D228" s="44" t="s">
        <v>1856</v>
      </c>
      <c r="E228" s="203" t="s">
        <v>1857</v>
      </c>
      <c r="F228" s="203">
        <v>750</v>
      </c>
      <c r="G228" s="203">
        <v>2300</v>
      </c>
      <c r="H228" s="140">
        <f t="shared" si="6"/>
        <v>1.7249999999999999</v>
      </c>
      <c r="I228" s="453">
        <f t="shared" si="7"/>
        <v>1.7249999999999999</v>
      </c>
      <c r="J228" s="451"/>
      <c r="K228" s="452"/>
      <c r="L228" s="452"/>
      <c r="M228" s="451" t="s">
        <v>1859</v>
      </c>
    </row>
    <row r="229" spans="1:13" x14ac:dyDescent="0.25">
      <c r="A229" s="1" t="s">
        <v>1904</v>
      </c>
      <c r="B229" s="44" t="s">
        <v>228</v>
      </c>
      <c r="C229" s="44" t="s">
        <v>1902</v>
      </c>
      <c r="D229" s="44" t="s">
        <v>1856</v>
      </c>
      <c r="E229" s="203" t="s">
        <v>1857</v>
      </c>
      <c r="F229" s="203">
        <v>1500</v>
      </c>
      <c r="G229" s="203">
        <v>2300</v>
      </c>
      <c r="H229" s="140">
        <f t="shared" si="6"/>
        <v>3.4499999999999997</v>
      </c>
      <c r="I229" s="453">
        <f t="shared" si="7"/>
        <v>3.4499999999999997</v>
      </c>
      <c r="J229" s="451"/>
      <c r="K229" s="452"/>
      <c r="L229" s="452"/>
      <c r="M229" s="451" t="s">
        <v>1859</v>
      </c>
    </row>
    <row r="230" spans="1:13" x14ac:dyDescent="0.25">
      <c r="A230" s="1" t="s">
        <v>1904</v>
      </c>
      <c r="B230" s="44" t="s">
        <v>228</v>
      </c>
      <c r="C230" s="44" t="s">
        <v>1901</v>
      </c>
      <c r="D230" s="44" t="s">
        <v>1856</v>
      </c>
      <c r="E230" s="203" t="s">
        <v>1857</v>
      </c>
      <c r="F230" s="203">
        <v>750</v>
      </c>
      <c r="G230" s="203">
        <v>2300</v>
      </c>
      <c r="H230" s="140">
        <f t="shared" si="6"/>
        <v>1.7249999999999999</v>
      </c>
      <c r="I230" s="453">
        <f t="shared" si="7"/>
        <v>1.7249999999999999</v>
      </c>
      <c r="J230" s="451"/>
      <c r="K230" s="452"/>
      <c r="L230" s="452"/>
      <c r="M230" s="451" t="s">
        <v>1859</v>
      </c>
    </row>
    <row r="231" spans="1:13" x14ac:dyDescent="0.25">
      <c r="A231" s="1" t="s">
        <v>1904</v>
      </c>
      <c r="B231" s="44" t="s">
        <v>228</v>
      </c>
      <c r="C231" s="44" t="s">
        <v>1901</v>
      </c>
      <c r="D231" s="44" t="s">
        <v>1856</v>
      </c>
      <c r="E231" s="203" t="s">
        <v>1857</v>
      </c>
      <c r="F231" s="203">
        <v>750</v>
      </c>
      <c r="G231" s="203">
        <v>2300</v>
      </c>
      <c r="H231" s="140">
        <f t="shared" si="6"/>
        <v>1.7249999999999999</v>
      </c>
      <c r="I231" s="453">
        <f t="shared" si="7"/>
        <v>1.7249999999999999</v>
      </c>
      <c r="J231" s="451"/>
      <c r="K231" s="452"/>
      <c r="L231" s="452"/>
      <c r="M231" s="451" t="s">
        <v>1859</v>
      </c>
    </row>
    <row r="232" spans="1:13" x14ac:dyDescent="0.25">
      <c r="A232" s="1" t="s">
        <v>1904</v>
      </c>
      <c r="B232" s="44" t="s">
        <v>228</v>
      </c>
      <c r="C232" s="44" t="s">
        <v>1901</v>
      </c>
      <c r="D232" s="44" t="s">
        <v>1856</v>
      </c>
      <c r="E232" s="203" t="s">
        <v>1857</v>
      </c>
      <c r="F232" s="203">
        <v>750</v>
      </c>
      <c r="G232" s="203">
        <v>2300</v>
      </c>
      <c r="H232" s="140">
        <f t="shared" si="6"/>
        <v>1.7249999999999999</v>
      </c>
      <c r="I232" s="453">
        <f t="shared" si="7"/>
        <v>1.7249999999999999</v>
      </c>
      <c r="J232" s="451"/>
      <c r="K232" s="452"/>
      <c r="L232" s="452"/>
      <c r="M232" s="451" t="s">
        <v>1859</v>
      </c>
    </row>
    <row r="233" spans="1:13" x14ac:dyDescent="0.25">
      <c r="A233" s="1" t="s">
        <v>1904</v>
      </c>
      <c r="B233" s="44" t="s">
        <v>228</v>
      </c>
      <c r="C233" s="44" t="s">
        <v>1901</v>
      </c>
      <c r="D233" s="44" t="s">
        <v>1856</v>
      </c>
      <c r="E233" s="203" t="s">
        <v>1857</v>
      </c>
      <c r="F233" s="203">
        <v>750</v>
      </c>
      <c r="G233" s="203">
        <v>2300</v>
      </c>
      <c r="H233" s="140">
        <f t="shared" si="6"/>
        <v>1.7249999999999999</v>
      </c>
      <c r="I233" s="453">
        <f t="shared" si="7"/>
        <v>1.7249999999999999</v>
      </c>
      <c r="J233" s="451"/>
      <c r="K233" s="452"/>
      <c r="L233" s="452"/>
      <c r="M233" s="451" t="s">
        <v>1859</v>
      </c>
    </row>
    <row r="234" spans="1:13" x14ac:dyDescent="0.25">
      <c r="A234" s="1" t="s">
        <v>1904</v>
      </c>
      <c r="B234" s="44" t="s">
        <v>228</v>
      </c>
      <c r="C234" s="44" t="s">
        <v>1899</v>
      </c>
      <c r="D234" s="44" t="s">
        <v>1861</v>
      </c>
      <c r="E234" s="203" t="s">
        <v>1857</v>
      </c>
      <c r="F234" s="203">
        <v>1550</v>
      </c>
      <c r="G234" s="203">
        <v>1550</v>
      </c>
      <c r="H234" s="140">
        <f t="shared" si="6"/>
        <v>2.4024999999999999</v>
      </c>
      <c r="I234" s="453" t="s">
        <v>1858</v>
      </c>
      <c r="J234" s="451"/>
      <c r="K234" s="452"/>
      <c r="L234" s="452"/>
      <c r="M234" s="451" t="s">
        <v>1859</v>
      </c>
    </row>
    <row r="235" spans="1:13" x14ac:dyDescent="0.25">
      <c r="A235" s="1" t="s">
        <v>1904</v>
      </c>
      <c r="B235" s="44" t="s">
        <v>228</v>
      </c>
      <c r="C235" s="44" t="s">
        <v>1899</v>
      </c>
      <c r="D235" s="44" t="s">
        <v>1861</v>
      </c>
      <c r="E235" s="203" t="s">
        <v>1857</v>
      </c>
      <c r="F235" s="203">
        <v>1550</v>
      </c>
      <c r="G235" s="203">
        <v>1550</v>
      </c>
      <c r="H235" s="140">
        <f t="shared" si="6"/>
        <v>2.4024999999999999</v>
      </c>
      <c r="I235" s="453" t="s">
        <v>1858</v>
      </c>
      <c r="J235" s="451"/>
      <c r="K235" s="452"/>
      <c r="L235" s="452"/>
      <c r="M235" s="451" t="s">
        <v>1859</v>
      </c>
    </row>
    <row r="236" spans="1:13" x14ac:dyDescent="0.25">
      <c r="A236" s="1" t="s">
        <v>1904</v>
      </c>
      <c r="B236" s="44" t="s">
        <v>228</v>
      </c>
      <c r="C236" s="44" t="s">
        <v>1900</v>
      </c>
      <c r="D236" s="44" t="s">
        <v>1861</v>
      </c>
      <c r="E236" s="203" t="s">
        <v>1857</v>
      </c>
      <c r="F236" s="203">
        <v>1550</v>
      </c>
      <c r="G236" s="203">
        <v>1550</v>
      </c>
      <c r="H236" s="140">
        <f t="shared" si="6"/>
        <v>2.4024999999999999</v>
      </c>
      <c r="I236" s="453" t="s">
        <v>1858</v>
      </c>
      <c r="J236" s="451"/>
      <c r="K236" s="452"/>
      <c r="L236" s="452"/>
      <c r="M236" s="451" t="s">
        <v>1859</v>
      </c>
    </row>
    <row r="237" spans="1:13" x14ac:dyDescent="0.25">
      <c r="A237" s="1" t="s">
        <v>1904</v>
      </c>
      <c r="B237" s="44" t="s">
        <v>228</v>
      </c>
      <c r="C237" s="44" t="s">
        <v>1899</v>
      </c>
      <c r="D237" s="44" t="s">
        <v>1861</v>
      </c>
      <c r="E237" s="203" t="s">
        <v>1857</v>
      </c>
      <c r="F237" s="203">
        <v>1550</v>
      </c>
      <c r="G237" s="203">
        <v>1550</v>
      </c>
      <c r="H237" s="140">
        <f t="shared" si="6"/>
        <v>2.4024999999999999</v>
      </c>
      <c r="I237" s="453" t="s">
        <v>1858</v>
      </c>
      <c r="J237" s="451"/>
      <c r="K237" s="452"/>
      <c r="L237" s="452"/>
      <c r="M237" s="451" t="s">
        <v>1859</v>
      </c>
    </row>
    <row r="238" spans="1:13" x14ac:dyDescent="0.25">
      <c r="A238" s="1" t="s">
        <v>1904</v>
      </c>
      <c r="B238" s="44" t="s">
        <v>228</v>
      </c>
      <c r="C238" s="44" t="s">
        <v>1899</v>
      </c>
      <c r="D238" s="44" t="s">
        <v>1861</v>
      </c>
      <c r="E238" s="203" t="s">
        <v>1857</v>
      </c>
      <c r="F238" s="203">
        <v>1550</v>
      </c>
      <c r="G238" s="203">
        <v>1550</v>
      </c>
      <c r="H238" s="140">
        <f t="shared" ref="H238:H301" si="8">F238*G238*0.000001</f>
        <v>2.4024999999999999</v>
      </c>
      <c r="I238" s="453" t="s">
        <v>1858</v>
      </c>
      <c r="J238" s="451"/>
      <c r="K238" s="452"/>
      <c r="L238" s="452"/>
      <c r="M238" s="451" t="s">
        <v>1859</v>
      </c>
    </row>
    <row r="239" spans="1:13" x14ac:dyDescent="0.25">
      <c r="A239" s="1" t="s">
        <v>1907</v>
      </c>
      <c r="B239" s="44" t="s">
        <v>361</v>
      </c>
      <c r="C239" s="44" t="s">
        <v>1898</v>
      </c>
      <c r="D239" s="44" t="s">
        <v>1856</v>
      </c>
      <c r="E239" s="203" t="s">
        <v>1857</v>
      </c>
      <c r="F239" s="203">
        <v>2970</v>
      </c>
      <c r="G239" s="203">
        <v>1100</v>
      </c>
      <c r="H239" s="140">
        <f t="shared" si="8"/>
        <v>3.2669999999999999</v>
      </c>
      <c r="I239" s="453" t="s">
        <v>1858</v>
      </c>
      <c r="J239" s="451"/>
      <c r="K239" s="452"/>
      <c r="L239" s="452"/>
      <c r="M239" s="451" t="s">
        <v>1859</v>
      </c>
    </row>
    <row r="240" spans="1:13" x14ac:dyDescent="0.25">
      <c r="A240" s="1" t="s">
        <v>1907</v>
      </c>
      <c r="B240" s="44" t="s">
        <v>361</v>
      </c>
      <c r="C240" s="44" t="s">
        <v>1863</v>
      </c>
      <c r="D240" s="44" t="s">
        <v>1861</v>
      </c>
      <c r="E240" s="203" t="s">
        <v>1857</v>
      </c>
      <c r="F240" s="203">
        <v>1500</v>
      </c>
      <c r="G240" s="203">
        <v>2300</v>
      </c>
      <c r="H240" s="140">
        <f t="shared" si="8"/>
        <v>3.4499999999999997</v>
      </c>
      <c r="I240" s="453">
        <f t="shared" ref="I240:I252" si="9">H240</f>
        <v>3.4499999999999997</v>
      </c>
      <c r="J240" s="451"/>
      <c r="K240" s="452"/>
      <c r="L240" s="452"/>
      <c r="M240" s="451" t="s">
        <v>1859</v>
      </c>
    </row>
    <row r="241" spans="1:13" x14ac:dyDescent="0.25">
      <c r="A241" s="1" t="s">
        <v>1907</v>
      </c>
      <c r="B241" s="44" t="s">
        <v>361</v>
      </c>
      <c r="C241" s="44" t="s">
        <v>1878</v>
      </c>
      <c r="D241" s="44" t="s">
        <v>1856</v>
      </c>
      <c r="E241" s="203" t="s">
        <v>1857</v>
      </c>
      <c r="F241" s="203">
        <v>750</v>
      </c>
      <c r="G241" s="203">
        <v>2300</v>
      </c>
      <c r="H241" s="140">
        <f t="shared" si="8"/>
        <v>1.7249999999999999</v>
      </c>
      <c r="I241" s="453">
        <f t="shared" si="9"/>
        <v>1.7249999999999999</v>
      </c>
      <c r="J241" s="451"/>
      <c r="K241" s="452"/>
      <c r="L241" s="452"/>
      <c r="M241" s="451" t="s">
        <v>1859</v>
      </c>
    </row>
    <row r="242" spans="1:13" x14ac:dyDescent="0.25">
      <c r="A242" s="1" t="s">
        <v>1907</v>
      </c>
      <c r="B242" s="44" t="s">
        <v>361</v>
      </c>
      <c r="C242" s="44" t="s">
        <v>1908</v>
      </c>
      <c r="D242" s="44" t="s">
        <v>1856</v>
      </c>
      <c r="E242" s="220" t="s">
        <v>1909</v>
      </c>
      <c r="F242" s="203">
        <v>1500</v>
      </c>
      <c r="G242" s="203">
        <v>2300</v>
      </c>
      <c r="H242" s="140">
        <f t="shared" si="8"/>
        <v>3.4499999999999997</v>
      </c>
      <c r="I242" s="496">
        <f t="shared" si="9"/>
        <v>3.4499999999999997</v>
      </c>
      <c r="J242" s="451"/>
      <c r="K242" s="452"/>
      <c r="L242" s="452"/>
      <c r="M242" s="451" t="s">
        <v>1859</v>
      </c>
    </row>
    <row r="243" spans="1:13" x14ac:dyDescent="0.25">
      <c r="A243" s="1" t="s">
        <v>1907</v>
      </c>
      <c r="B243" s="44" t="s">
        <v>361</v>
      </c>
      <c r="C243" s="44" t="s">
        <v>1910</v>
      </c>
      <c r="D243" s="44" t="s">
        <v>1856</v>
      </c>
      <c r="E243" s="220" t="s">
        <v>1909</v>
      </c>
      <c r="F243" s="203">
        <v>1800</v>
      </c>
      <c r="G243" s="203">
        <v>2300</v>
      </c>
      <c r="H243" s="140">
        <f t="shared" si="8"/>
        <v>4.1399999999999997</v>
      </c>
      <c r="I243" s="496">
        <f t="shared" si="9"/>
        <v>4.1399999999999997</v>
      </c>
      <c r="J243" s="451"/>
      <c r="K243" s="452"/>
      <c r="L243" s="452"/>
      <c r="M243" s="451" t="s">
        <v>1859</v>
      </c>
    </row>
    <row r="244" spans="1:13" x14ac:dyDescent="0.25">
      <c r="A244" s="1" t="s">
        <v>1907</v>
      </c>
      <c r="B244" s="44" t="s">
        <v>361</v>
      </c>
      <c r="C244" s="44" t="s">
        <v>1908</v>
      </c>
      <c r="D244" s="44" t="s">
        <v>1856</v>
      </c>
      <c r="E244" s="220" t="s">
        <v>1909</v>
      </c>
      <c r="F244" s="203">
        <v>1500</v>
      </c>
      <c r="G244" s="203">
        <v>2300</v>
      </c>
      <c r="H244" s="140">
        <f t="shared" si="8"/>
        <v>3.4499999999999997</v>
      </c>
      <c r="I244" s="496">
        <f t="shared" si="9"/>
        <v>3.4499999999999997</v>
      </c>
      <c r="J244" s="451"/>
      <c r="K244" s="452"/>
      <c r="L244" s="452"/>
      <c r="M244" s="451" t="s">
        <v>1859</v>
      </c>
    </row>
    <row r="245" spans="1:13" x14ac:dyDescent="0.25">
      <c r="A245" s="1" t="s">
        <v>1907</v>
      </c>
      <c r="B245" s="44" t="s">
        <v>361</v>
      </c>
      <c r="C245" s="44" t="s">
        <v>1910</v>
      </c>
      <c r="D245" s="44" t="s">
        <v>1856</v>
      </c>
      <c r="E245" s="220" t="s">
        <v>1909</v>
      </c>
      <c r="F245" s="203">
        <v>1800</v>
      </c>
      <c r="G245" s="203">
        <v>2300</v>
      </c>
      <c r="H245" s="140">
        <f t="shared" si="8"/>
        <v>4.1399999999999997</v>
      </c>
      <c r="I245" s="496">
        <f t="shared" si="9"/>
        <v>4.1399999999999997</v>
      </c>
      <c r="J245" s="451"/>
      <c r="K245" s="452"/>
      <c r="L245" s="452"/>
      <c r="M245" s="451" t="s">
        <v>1859</v>
      </c>
    </row>
    <row r="246" spans="1:13" x14ac:dyDescent="0.25">
      <c r="A246" s="1" t="s">
        <v>1907</v>
      </c>
      <c r="B246" s="44" t="s">
        <v>361</v>
      </c>
      <c r="C246" s="44" t="s">
        <v>1910</v>
      </c>
      <c r="D246" s="44" t="s">
        <v>1856</v>
      </c>
      <c r="E246" s="220" t="s">
        <v>1909</v>
      </c>
      <c r="F246" s="203">
        <v>1800</v>
      </c>
      <c r="G246" s="203">
        <v>2300</v>
      </c>
      <c r="H246" s="140">
        <f t="shared" si="8"/>
        <v>4.1399999999999997</v>
      </c>
      <c r="I246" s="496">
        <f t="shared" si="9"/>
        <v>4.1399999999999997</v>
      </c>
      <c r="J246" s="451"/>
      <c r="K246" s="452"/>
      <c r="L246" s="452"/>
      <c r="M246" s="451" t="s">
        <v>1859</v>
      </c>
    </row>
    <row r="247" spans="1:13" x14ac:dyDescent="0.25">
      <c r="A247" s="1" t="s">
        <v>1907</v>
      </c>
      <c r="B247" s="44" t="s">
        <v>361</v>
      </c>
      <c r="C247" s="44" t="s">
        <v>1908</v>
      </c>
      <c r="D247" s="44" t="s">
        <v>1856</v>
      </c>
      <c r="E247" s="220" t="s">
        <v>1909</v>
      </c>
      <c r="F247" s="203">
        <v>1500</v>
      </c>
      <c r="G247" s="203">
        <v>2300</v>
      </c>
      <c r="H247" s="140">
        <f t="shared" si="8"/>
        <v>3.4499999999999997</v>
      </c>
      <c r="I247" s="496">
        <f t="shared" si="9"/>
        <v>3.4499999999999997</v>
      </c>
      <c r="J247" s="451"/>
      <c r="K247" s="452"/>
      <c r="L247" s="452"/>
      <c r="M247" s="451" t="s">
        <v>1859</v>
      </c>
    </row>
    <row r="248" spans="1:13" x14ac:dyDescent="0.25">
      <c r="A248" s="1" t="s">
        <v>1907</v>
      </c>
      <c r="B248" s="44" t="s">
        <v>361</v>
      </c>
      <c r="C248" s="44" t="s">
        <v>1864</v>
      </c>
      <c r="D248" s="44" t="s">
        <v>1856</v>
      </c>
      <c r="E248" s="203" t="s">
        <v>1857</v>
      </c>
      <c r="F248" s="203">
        <v>1800</v>
      </c>
      <c r="G248" s="203">
        <v>2300</v>
      </c>
      <c r="H248" s="140">
        <f t="shared" si="8"/>
        <v>4.1399999999999997</v>
      </c>
      <c r="I248" s="453">
        <f t="shared" si="9"/>
        <v>4.1399999999999997</v>
      </c>
      <c r="J248" s="451"/>
      <c r="K248" s="452"/>
      <c r="L248" s="452"/>
      <c r="M248" s="451" t="s">
        <v>1859</v>
      </c>
    </row>
    <row r="249" spans="1:13" x14ac:dyDescent="0.25">
      <c r="A249" s="1" t="s">
        <v>1907</v>
      </c>
      <c r="B249" s="44" t="s">
        <v>361</v>
      </c>
      <c r="C249" s="44" t="s">
        <v>1864</v>
      </c>
      <c r="D249" s="44" t="s">
        <v>1856</v>
      </c>
      <c r="E249" s="203" t="s">
        <v>1857</v>
      </c>
      <c r="F249" s="203">
        <v>1800</v>
      </c>
      <c r="G249" s="203">
        <v>2300</v>
      </c>
      <c r="H249" s="140">
        <f t="shared" si="8"/>
        <v>4.1399999999999997</v>
      </c>
      <c r="I249" s="453">
        <f t="shared" si="9"/>
        <v>4.1399999999999997</v>
      </c>
      <c r="J249" s="451"/>
      <c r="K249" s="452"/>
      <c r="L249" s="452"/>
      <c r="M249" s="451" t="s">
        <v>1859</v>
      </c>
    </row>
    <row r="250" spans="1:13" x14ac:dyDescent="0.25">
      <c r="A250" s="1" t="s">
        <v>1907</v>
      </c>
      <c r="B250" s="44" t="s">
        <v>361</v>
      </c>
      <c r="C250" s="44" t="s">
        <v>1863</v>
      </c>
      <c r="D250" s="44" t="s">
        <v>1856</v>
      </c>
      <c r="E250" s="203" t="s">
        <v>1857</v>
      </c>
      <c r="F250" s="203">
        <v>1500</v>
      </c>
      <c r="G250" s="203">
        <v>2300</v>
      </c>
      <c r="H250" s="140">
        <f t="shared" si="8"/>
        <v>3.4499999999999997</v>
      </c>
      <c r="I250" s="453">
        <f t="shared" si="9"/>
        <v>3.4499999999999997</v>
      </c>
      <c r="J250" s="451"/>
      <c r="K250" s="452"/>
      <c r="L250" s="452"/>
      <c r="M250" s="451" t="s">
        <v>1859</v>
      </c>
    </row>
    <row r="251" spans="1:13" x14ac:dyDescent="0.25">
      <c r="A251" s="1" t="s">
        <v>1907</v>
      </c>
      <c r="B251" s="44" t="s">
        <v>361</v>
      </c>
      <c r="C251" s="44" t="s">
        <v>1910</v>
      </c>
      <c r="D251" s="44" t="s">
        <v>1856</v>
      </c>
      <c r="E251" s="220" t="s">
        <v>1909</v>
      </c>
      <c r="F251" s="203">
        <v>1800</v>
      </c>
      <c r="G251" s="203">
        <v>2300</v>
      </c>
      <c r="H251" s="140">
        <f t="shared" si="8"/>
        <v>4.1399999999999997</v>
      </c>
      <c r="I251" s="496">
        <f t="shared" si="9"/>
        <v>4.1399999999999997</v>
      </c>
      <c r="J251" s="451"/>
      <c r="K251" s="452"/>
      <c r="L251" s="452"/>
      <c r="M251" s="451" t="s">
        <v>1859</v>
      </c>
    </row>
    <row r="252" spans="1:13" x14ac:dyDescent="0.25">
      <c r="A252" s="1" t="s">
        <v>1907</v>
      </c>
      <c r="B252" s="44" t="s">
        <v>361</v>
      </c>
      <c r="C252" s="44" t="s">
        <v>1908</v>
      </c>
      <c r="D252" s="44" t="s">
        <v>1856</v>
      </c>
      <c r="E252" s="220" t="s">
        <v>1909</v>
      </c>
      <c r="F252" s="203">
        <v>1500</v>
      </c>
      <c r="G252" s="203">
        <v>2300</v>
      </c>
      <c r="H252" s="140">
        <f t="shared" si="8"/>
        <v>3.4499999999999997</v>
      </c>
      <c r="I252" s="496">
        <f t="shared" si="9"/>
        <v>3.4499999999999997</v>
      </c>
      <c r="J252" s="451"/>
      <c r="K252" s="452"/>
      <c r="L252" s="452"/>
      <c r="M252" s="451" t="s">
        <v>1859</v>
      </c>
    </row>
    <row r="253" spans="1:13" x14ac:dyDescent="0.25">
      <c r="A253" s="1" t="s">
        <v>1907</v>
      </c>
      <c r="B253" s="44" t="s">
        <v>361</v>
      </c>
      <c r="C253" s="44" t="s">
        <v>1911</v>
      </c>
      <c r="D253" s="44" t="s">
        <v>1866</v>
      </c>
      <c r="E253" s="220" t="s">
        <v>1909</v>
      </c>
      <c r="F253" s="203">
        <v>1500</v>
      </c>
      <c r="G253" s="203">
        <v>2300</v>
      </c>
      <c r="H253" s="140">
        <f t="shared" si="8"/>
        <v>3.4499999999999997</v>
      </c>
      <c r="I253" s="453" t="s">
        <v>1858</v>
      </c>
      <c r="J253" s="451"/>
      <c r="K253" s="452"/>
      <c r="L253" s="452"/>
      <c r="M253" s="451" t="s">
        <v>1859</v>
      </c>
    </row>
    <row r="254" spans="1:13" x14ac:dyDescent="0.25">
      <c r="A254" s="1" t="s">
        <v>1907</v>
      </c>
      <c r="B254" s="44" t="s">
        <v>361</v>
      </c>
      <c r="C254" s="44" t="s">
        <v>1912</v>
      </c>
      <c r="D254" s="44" t="s">
        <v>1866</v>
      </c>
      <c r="E254" s="203" t="s">
        <v>1857</v>
      </c>
      <c r="F254" s="203">
        <v>1800</v>
      </c>
      <c r="G254" s="203">
        <v>2300</v>
      </c>
      <c r="H254" s="140">
        <f t="shared" si="8"/>
        <v>4.1399999999999997</v>
      </c>
      <c r="I254" s="453" t="s">
        <v>1858</v>
      </c>
      <c r="J254" s="451"/>
      <c r="K254" s="452"/>
      <c r="L254" s="452"/>
      <c r="M254" s="451" t="s">
        <v>1859</v>
      </c>
    </row>
    <row r="255" spans="1:13" x14ac:dyDescent="0.25">
      <c r="A255" s="1" t="s">
        <v>1907</v>
      </c>
      <c r="B255" s="44" t="s">
        <v>361</v>
      </c>
      <c r="C255" s="44" t="s">
        <v>1910</v>
      </c>
      <c r="D255" s="44" t="s">
        <v>1866</v>
      </c>
      <c r="E255" s="220" t="s">
        <v>1909</v>
      </c>
      <c r="F255" s="203">
        <v>1800</v>
      </c>
      <c r="G255" s="203">
        <v>2300</v>
      </c>
      <c r="H255" s="140">
        <f t="shared" si="8"/>
        <v>4.1399999999999997</v>
      </c>
      <c r="I255" s="453" t="s">
        <v>1858</v>
      </c>
      <c r="J255" s="451"/>
      <c r="K255" s="452"/>
      <c r="L255" s="452"/>
      <c r="M255" s="451" t="s">
        <v>1859</v>
      </c>
    </row>
    <row r="256" spans="1:13" x14ac:dyDescent="0.25">
      <c r="A256" s="1" t="s">
        <v>1907</v>
      </c>
      <c r="B256" s="44" t="s">
        <v>361</v>
      </c>
      <c r="C256" s="44" t="s">
        <v>1913</v>
      </c>
      <c r="D256" s="44" t="s">
        <v>1866</v>
      </c>
      <c r="E256" s="220" t="s">
        <v>1909</v>
      </c>
      <c r="F256" s="203">
        <v>1500</v>
      </c>
      <c r="G256" s="203">
        <v>2300</v>
      </c>
      <c r="H256" s="140">
        <f t="shared" si="8"/>
        <v>3.4499999999999997</v>
      </c>
      <c r="I256" s="453" t="s">
        <v>1858</v>
      </c>
      <c r="J256" s="451"/>
      <c r="K256" s="452"/>
      <c r="L256" s="452"/>
      <c r="M256" s="451" t="s">
        <v>1859</v>
      </c>
    </row>
    <row r="257" spans="1:13" x14ac:dyDescent="0.25">
      <c r="A257" s="1" t="s">
        <v>1907</v>
      </c>
      <c r="B257" s="44" t="s">
        <v>361</v>
      </c>
      <c r="C257" s="44" t="s">
        <v>1908</v>
      </c>
      <c r="D257" s="44" t="s">
        <v>1866</v>
      </c>
      <c r="E257" s="220" t="s">
        <v>1909</v>
      </c>
      <c r="F257" s="203">
        <v>1500</v>
      </c>
      <c r="G257" s="203">
        <v>2300</v>
      </c>
      <c r="H257" s="140">
        <f t="shared" si="8"/>
        <v>3.4499999999999997</v>
      </c>
      <c r="I257" s="453" t="s">
        <v>1858</v>
      </c>
      <c r="J257" s="451"/>
      <c r="K257" s="452"/>
      <c r="L257" s="452"/>
      <c r="M257" s="451" t="s">
        <v>1859</v>
      </c>
    </row>
    <row r="258" spans="1:13" x14ac:dyDescent="0.25">
      <c r="A258" s="1" t="s">
        <v>1907</v>
      </c>
      <c r="B258" s="44" t="s">
        <v>361</v>
      </c>
      <c r="C258" s="44" t="s">
        <v>1910</v>
      </c>
      <c r="D258" s="44" t="s">
        <v>1866</v>
      </c>
      <c r="E258" s="220" t="s">
        <v>1909</v>
      </c>
      <c r="F258" s="203">
        <v>1800</v>
      </c>
      <c r="G258" s="203">
        <v>2300</v>
      </c>
      <c r="H258" s="140">
        <f t="shared" si="8"/>
        <v>4.1399999999999997</v>
      </c>
      <c r="I258" s="453" t="s">
        <v>1858</v>
      </c>
      <c r="J258" s="451"/>
      <c r="K258" s="452"/>
      <c r="L258" s="452"/>
      <c r="M258" s="451" t="s">
        <v>1859</v>
      </c>
    </row>
    <row r="259" spans="1:13" x14ac:dyDescent="0.25">
      <c r="A259" s="1" t="s">
        <v>1907</v>
      </c>
      <c r="B259" s="44" t="s">
        <v>361</v>
      </c>
      <c r="C259" s="44" t="s">
        <v>1908</v>
      </c>
      <c r="D259" s="44" t="s">
        <v>1866</v>
      </c>
      <c r="E259" s="220" t="s">
        <v>1909</v>
      </c>
      <c r="F259" s="203">
        <v>1500</v>
      </c>
      <c r="G259" s="203">
        <v>2300</v>
      </c>
      <c r="H259" s="140">
        <f t="shared" si="8"/>
        <v>3.4499999999999997</v>
      </c>
      <c r="I259" s="453" t="s">
        <v>1858</v>
      </c>
      <c r="J259" s="451"/>
      <c r="K259" s="452"/>
      <c r="L259" s="452"/>
      <c r="M259" s="451" t="s">
        <v>1859</v>
      </c>
    </row>
    <row r="260" spans="1:13" x14ac:dyDescent="0.25">
      <c r="A260" s="1" t="s">
        <v>1907</v>
      </c>
      <c r="B260" s="44" t="s">
        <v>361</v>
      </c>
      <c r="C260" s="44" t="s">
        <v>1908</v>
      </c>
      <c r="D260" s="44" t="s">
        <v>1866</v>
      </c>
      <c r="E260" s="220" t="s">
        <v>1909</v>
      </c>
      <c r="F260" s="203">
        <v>1500</v>
      </c>
      <c r="G260" s="203">
        <v>2300</v>
      </c>
      <c r="H260" s="140">
        <f t="shared" si="8"/>
        <v>3.4499999999999997</v>
      </c>
      <c r="I260" s="453" t="s">
        <v>1858</v>
      </c>
      <c r="J260" s="451"/>
      <c r="K260" s="452"/>
      <c r="L260" s="452"/>
      <c r="M260" s="451" t="s">
        <v>1859</v>
      </c>
    </row>
    <row r="261" spans="1:13" x14ac:dyDescent="0.25">
      <c r="A261" s="1" t="s">
        <v>1907</v>
      </c>
      <c r="B261" s="44" t="s">
        <v>361</v>
      </c>
      <c r="C261" s="44" t="s">
        <v>1910</v>
      </c>
      <c r="D261" s="44" t="s">
        <v>1866</v>
      </c>
      <c r="E261" s="220" t="s">
        <v>1909</v>
      </c>
      <c r="F261" s="203">
        <v>1800</v>
      </c>
      <c r="G261" s="203">
        <v>2300</v>
      </c>
      <c r="H261" s="140">
        <f t="shared" si="8"/>
        <v>4.1399999999999997</v>
      </c>
      <c r="I261" s="453" t="s">
        <v>1858</v>
      </c>
      <c r="J261" s="451"/>
      <c r="K261" s="452"/>
      <c r="L261" s="452"/>
      <c r="M261" s="451" t="s">
        <v>1859</v>
      </c>
    </row>
    <row r="262" spans="1:13" x14ac:dyDescent="0.25">
      <c r="A262" s="1" t="s">
        <v>1907</v>
      </c>
      <c r="B262" s="44" t="s">
        <v>361</v>
      </c>
      <c r="C262" s="44" t="s">
        <v>1908</v>
      </c>
      <c r="D262" s="44" t="s">
        <v>1866</v>
      </c>
      <c r="E262" s="220" t="s">
        <v>1909</v>
      </c>
      <c r="F262" s="203">
        <v>1500</v>
      </c>
      <c r="G262" s="203">
        <v>2300</v>
      </c>
      <c r="H262" s="140">
        <f t="shared" si="8"/>
        <v>3.4499999999999997</v>
      </c>
      <c r="I262" s="453" t="s">
        <v>1858</v>
      </c>
      <c r="J262" s="451"/>
      <c r="K262" s="452"/>
      <c r="L262" s="452"/>
      <c r="M262" s="451" t="s">
        <v>1859</v>
      </c>
    </row>
    <row r="263" spans="1:13" x14ac:dyDescent="0.25">
      <c r="A263" s="1" t="s">
        <v>1907</v>
      </c>
      <c r="B263" s="44" t="s">
        <v>361</v>
      </c>
      <c r="C263" s="44" t="s">
        <v>1899</v>
      </c>
      <c r="D263" s="44" t="s">
        <v>1861</v>
      </c>
      <c r="E263" s="203" t="s">
        <v>1857</v>
      </c>
      <c r="F263" s="203">
        <v>1550</v>
      </c>
      <c r="G263" s="203">
        <v>1550</v>
      </c>
      <c r="H263" s="140">
        <f t="shared" si="8"/>
        <v>2.4024999999999999</v>
      </c>
      <c r="I263" s="453">
        <f>H263</f>
        <v>2.4024999999999999</v>
      </c>
      <c r="J263" s="451"/>
      <c r="K263" s="452"/>
      <c r="L263" s="452"/>
      <c r="M263" s="451" t="s">
        <v>1859</v>
      </c>
    </row>
    <row r="264" spans="1:13" x14ac:dyDescent="0.25">
      <c r="A264" s="1" t="s">
        <v>1907</v>
      </c>
      <c r="B264" s="44" t="s">
        <v>361</v>
      </c>
      <c r="C264" s="44" t="s">
        <v>1899</v>
      </c>
      <c r="D264" s="44" t="s">
        <v>1861</v>
      </c>
      <c r="E264" s="203" t="s">
        <v>1857</v>
      </c>
      <c r="F264" s="203">
        <v>1550</v>
      </c>
      <c r="G264" s="203">
        <v>1550</v>
      </c>
      <c r="H264" s="140">
        <f t="shared" si="8"/>
        <v>2.4024999999999999</v>
      </c>
      <c r="I264" s="453">
        <f>H264</f>
        <v>2.4024999999999999</v>
      </c>
      <c r="J264" s="451"/>
      <c r="K264" s="452"/>
      <c r="L264" s="452"/>
      <c r="M264" s="451" t="s">
        <v>1859</v>
      </c>
    </row>
    <row r="265" spans="1:13" x14ac:dyDescent="0.25">
      <c r="A265" s="1" t="s">
        <v>1907</v>
      </c>
      <c r="B265" s="44" t="s">
        <v>361</v>
      </c>
      <c r="C265" s="44" t="s">
        <v>1900</v>
      </c>
      <c r="D265" s="44" t="s">
        <v>1861</v>
      </c>
      <c r="E265" s="203" t="s">
        <v>1857</v>
      </c>
      <c r="F265" s="203">
        <v>1550</v>
      </c>
      <c r="G265" s="203">
        <v>1550</v>
      </c>
      <c r="H265" s="140">
        <f t="shared" si="8"/>
        <v>2.4024999999999999</v>
      </c>
      <c r="I265" s="453">
        <f>H265</f>
        <v>2.4024999999999999</v>
      </c>
      <c r="J265" s="451"/>
      <c r="K265" s="452"/>
      <c r="L265" s="452"/>
      <c r="M265" s="451" t="s">
        <v>1859</v>
      </c>
    </row>
    <row r="266" spans="1:13" x14ac:dyDescent="0.25">
      <c r="A266" s="1" t="s">
        <v>1907</v>
      </c>
      <c r="B266" s="44" t="s">
        <v>361</v>
      </c>
      <c r="C266" s="44" t="s">
        <v>1899</v>
      </c>
      <c r="D266" s="44" t="s">
        <v>1861</v>
      </c>
      <c r="E266" s="203" t="s">
        <v>1857</v>
      </c>
      <c r="F266" s="203">
        <v>1550</v>
      </c>
      <c r="G266" s="203">
        <v>1550</v>
      </c>
      <c r="H266" s="140">
        <f t="shared" si="8"/>
        <v>2.4024999999999999</v>
      </c>
      <c r="I266" s="453">
        <f>H266</f>
        <v>2.4024999999999999</v>
      </c>
      <c r="J266" s="451"/>
      <c r="K266" s="452"/>
      <c r="L266" s="452"/>
      <c r="M266" s="451" t="s">
        <v>1859</v>
      </c>
    </row>
    <row r="267" spans="1:13" x14ac:dyDescent="0.25">
      <c r="A267" s="1" t="s">
        <v>1907</v>
      </c>
      <c r="B267" s="44" t="s">
        <v>361</v>
      </c>
      <c r="C267" s="44" t="s">
        <v>1899</v>
      </c>
      <c r="D267" s="44" t="s">
        <v>1861</v>
      </c>
      <c r="E267" s="203" t="s">
        <v>1857</v>
      </c>
      <c r="F267" s="203">
        <v>1550</v>
      </c>
      <c r="G267" s="203">
        <v>1550</v>
      </c>
      <c r="H267" s="140">
        <f t="shared" si="8"/>
        <v>2.4024999999999999</v>
      </c>
      <c r="I267" s="453">
        <f>H267</f>
        <v>2.4024999999999999</v>
      </c>
      <c r="J267" s="451"/>
      <c r="K267" s="452"/>
      <c r="L267" s="452"/>
      <c r="M267" s="451" t="s">
        <v>1859</v>
      </c>
    </row>
    <row r="268" spans="1:13" x14ac:dyDescent="0.25">
      <c r="A268" s="1" t="s">
        <v>1907</v>
      </c>
      <c r="B268" s="44" t="s">
        <v>361</v>
      </c>
      <c r="C268" s="44" t="s">
        <v>1901</v>
      </c>
      <c r="D268" s="44" t="s">
        <v>1869</v>
      </c>
      <c r="E268" s="203" t="s">
        <v>1857</v>
      </c>
      <c r="F268" s="203">
        <v>750</v>
      </c>
      <c r="G268" s="203">
        <v>2300</v>
      </c>
      <c r="H268" s="140">
        <f t="shared" si="8"/>
        <v>1.7249999999999999</v>
      </c>
      <c r="I268" s="453" t="s">
        <v>1858</v>
      </c>
      <c r="J268" s="451"/>
      <c r="K268" s="452"/>
      <c r="L268" s="452"/>
      <c r="M268" s="451" t="s">
        <v>1859</v>
      </c>
    </row>
    <row r="269" spans="1:13" x14ac:dyDescent="0.25">
      <c r="A269" s="1" t="s">
        <v>1907</v>
      </c>
      <c r="B269" s="44" t="s">
        <v>361</v>
      </c>
      <c r="C269" s="44" t="s">
        <v>1901</v>
      </c>
      <c r="D269" s="44" t="s">
        <v>1869</v>
      </c>
      <c r="E269" s="203" t="s">
        <v>1857</v>
      </c>
      <c r="F269" s="203">
        <v>750</v>
      </c>
      <c r="G269" s="203">
        <v>2300</v>
      </c>
      <c r="H269" s="140">
        <f t="shared" si="8"/>
        <v>1.7249999999999999</v>
      </c>
      <c r="I269" s="453" t="s">
        <v>1858</v>
      </c>
      <c r="J269" s="451"/>
      <c r="K269" s="452"/>
      <c r="L269" s="452"/>
      <c r="M269" s="451" t="s">
        <v>1859</v>
      </c>
    </row>
    <row r="270" spans="1:13" x14ac:dyDescent="0.25">
      <c r="A270" s="1" t="s">
        <v>1907</v>
      </c>
      <c r="B270" s="44" t="s">
        <v>361</v>
      </c>
      <c r="C270" s="44" t="s">
        <v>1901</v>
      </c>
      <c r="D270" s="44" t="s">
        <v>1869</v>
      </c>
      <c r="E270" s="203" t="s">
        <v>1857</v>
      </c>
      <c r="F270" s="203">
        <v>750</v>
      </c>
      <c r="G270" s="203">
        <v>2300</v>
      </c>
      <c r="H270" s="140">
        <f t="shared" si="8"/>
        <v>1.7249999999999999</v>
      </c>
      <c r="I270" s="453" t="s">
        <v>1858</v>
      </c>
      <c r="J270" s="451"/>
      <c r="K270" s="452"/>
      <c r="L270" s="452"/>
      <c r="M270" s="451" t="s">
        <v>1859</v>
      </c>
    </row>
    <row r="271" spans="1:13" x14ac:dyDescent="0.25">
      <c r="A271" s="1" t="s">
        <v>1907</v>
      </c>
      <c r="B271" s="44" t="s">
        <v>361</v>
      </c>
      <c r="C271" s="44" t="s">
        <v>1901</v>
      </c>
      <c r="D271" s="44" t="s">
        <v>1869</v>
      </c>
      <c r="E271" s="203" t="s">
        <v>1857</v>
      </c>
      <c r="F271" s="203">
        <v>750</v>
      </c>
      <c r="G271" s="203">
        <v>2300</v>
      </c>
      <c r="H271" s="140">
        <f t="shared" si="8"/>
        <v>1.7249999999999999</v>
      </c>
      <c r="I271" s="453" t="s">
        <v>1858</v>
      </c>
      <c r="J271" s="451"/>
      <c r="K271" s="452"/>
      <c r="L271" s="452"/>
      <c r="M271" s="451" t="s">
        <v>1859</v>
      </c>
    </row>
    <row r="272" spans="1:13" x14ac:dyDescent="0.25">
      <c r="A272" s="1" t="s">
        <v>1907</v>
      </c>
      <c r="B272" s="44" t="s">
        <v>361</v>
      </c>
      <c r="C272" s="44" t="s">
        <v>1902</v>
      </c>
      <c r="D272" s="44" t="s">
        <v>1869</v>
      </c>
      <c r="E272" s="203" t="s">
        <v>1857</v>
      </c>
      <c r="F272" s="203">
        <v>1500</v>
      </c>
      <c r="G272" s="203">
        <v>2300</v>
      </c>
      <c r="H272" s="140">
        <f t="shared" si="8"/>
        <v>3.4499999999999997</v>
      </c>
      <c r="I272" s="453" t="s">
        <v>1858</v>
      </c>
      <c r="J272" s="451"/>
      <c r="K272" s="452"/>
      <c r="L272" s="452"/>
      <c r="M272" s="451" t="s">
        <v>1859</v>
      </c>
    </row>
    <row r="273" spans="1:13" x14ac:dyDescent="0.25">
      <c r="A273" s="1" t="s">
        <v>1907</v>
      </c>
      <c r="B273" s="44" t="s">
        <v>361</v>
      </c>
      <c r="C273" s="44" t="s">
        <v>1901</v>
      </c>
      <c r="D273" s="44" t="s">
        <v>1869</v>
      </c>
      <c r="E273" s="203" t="s">
        <v>1857</v>
      </c>
      <c r="F273" s="203">
        <v>750</v>
      </c>
      <c r="G273" s="203">
        <v>2300</v>
      </c>
      <c r="H273" s="140">
        <f t="shared" si="8"/>
        <v>1.7249999999999999</v>
      </c>
      <c r="I273" s="453" t="s">
        <v>1858</v>
      </c>
      <c r="J273" s="451"/>
      <c r="K273" s="452"/>
      <c r="L273" s="452"/>
      <c r="M273" s="451" t="s">
        <v>1859</v>
      </c>
    </row>
    <row r="274" spans="1:13" x14ac:dyDescent="0.25">
      <c r="A274" s="1" t="s">
        <v>1907</v>
      </c>
      <c r="B274" s="44" t="s">
        <v>361</v>
      </c>
      <c r="C274" s="44" t="s">
        <v>1901</v>
      </c>
      <c r="D274" s="44" t="s">
        <v>1869</v>
      </c>
      <c r="E274" s="203" t="s">
        <v>1857</v>
      </c>
      <c r="F274" s="203">
        <v>750</v>
      </c>
      <c r="G274" s="203">
        <v>2300</v>
      </c>
      <c r="H274" s="140">
        <f t="shared" si="8"/>
        <v>1.7249999999999999</v>
      </c>
      <c r="I274" s="453" t="s">
        <v>1858</v>
      </c>
      <c r="J274" s="451"/>
      <c r="K274" s="452"/>
      <c r="L274" s="452"/>
      <c r="M274" s="451" t="s">
        <v>1859</v>
      </c>
    </row>
    <row r="275" spans="1:13" x14ac:dyDescent="0.25">
      <c r="A275" s="1" t="s">
        <v>1907</v>
      </c>
      <c r="B275" s="44" t="s">
        <v>361</v>
      </c>
      <c r="C275" s="44" t="s">
        <v>1901</v>
      </c>
      <c r="D275" s="44" t="s">
        <v>1869</v>
      </c>
      <c r="E275" s="203" t="s">
        <v>1857</v>
      </c>
      <c r="F275" s="203">
        <v>750</v>
      </c>
      <c r="G275" s="203">
        <v>2300</v>
      </c>
      <c r="H275" s="140">
        <f t="shared" si="8"/>
        <v>1.7249999999999999</v>
      </c>
      <c r="I275" s="453" t="s">
        <v>1858</v>
      </c>
      <c r="J275" s="451"/>
      <c r="K275" s="452"/>
      <c r="L275" s="452"/>
      <c r="M275" s="451" t="s">
        <v>1859</v>
      </c>
    </row>
    <row r="276" spans="1:13" x14ac:dyDescent="0.25">
      <c r="A276" s="1" t="s">
        <v>1907</v>
      </c>
      <c r="B276" s="44" t="s">
        <v>361</v>
      </c>
      <c r="C276" s="44" t="s">
        <v>1901</v>
      </c>
      <c r="D276" s="44" t="s">
        <v>1869</v>
      </c>
      <c r="E276" s="203" t="s">
        <v>1857</v>
      </c>
      <c r="F276" s="203">
        <v>750</v>
      </c>
      <c r="G276" s="203">
        <v>2300</v>
      </c>
      <c r="H276" s="140">
        <f t="shared" si="8"/>
        <v>1.7249999999999999</v>
      </c>
      <c r="I276" s="453" t="s">
        <v>1858</v>
      </c>
      <c r="J276" s="451"/>
      <c r="K276" s="452"/>
      <c r="L276" s="452"/>
      <c r="M276" s="451" t="s">
        <v>1859</v>
      </c>
    </row>
    <row r="277" spans="1:13" x14ac:dyDescent="0.25">
      <c r="A277" s="1" t="s">
        <v>1907</v>
      </c>
      <c r="B277" s="44" t="s">
        <v>361</v>
      </c>
      <c r="C277" s="44" t="s">
        <v>1902</v>
      </c>
      <c r="D277" s="44" t="s">
        <v>1869</v>
      </c>
      <c r="E277" s="203" t="s">
        <v>1857</v>
      </c>
      <c r="F277" s="203">
        <v>1500</v>
      </c>
      <c r="G277" s="203">
        <v>2300</v>
      </c>
      <c r="H277" s="140">
        <f t="shared" si="8"/>
        <v>3.4499999999999997</v>
      </c>
      <c r="I277" s="453" t="s">
        <v>1858</v>
      </c>
      <c r="J277" s="451"/>
      <c r="K277" s="452"/>
      <c r="L277" s="452"/>
      <c r="M277" s="451" t="s">
        <v>1859</v>
      </c>
    </row>
    <row r="278" spans="1:13" x14ac:dyDescent="0.25">
      <c r="A278" s="1" t="s">
        <v>1907</v>
      </c>
      <c r="B278" s="44" t="s">
        <v>361</v>
      </c>
      <c r="C278" s="44" t="s">
        <v>1905</v>
      </c>
      <c r="D278" s="44" t="s">
        <v>1869</v>
      </c>
      <c r="E278" s="203" t="s">
        <v>1857</v>
      </c>
      <c r="F278" s="203">
        <v>3070</v>
      </c>
      <c r="G278" s="203">
        <v>1100</v>
      </c>
      <c r="H278" s="140">
        <f t="shared" si="8"/>
        <v>3.3769999999999998</v>
      </c>
      <c r="I278" s="453" t="s">
        <v>1858</v>
      </c>
      <c r="J278" s="451"/>
      <c r="K278" s="452"/>
      <c r="L278" s="452"/>
      <c r="M278" s="451" t="s">
        <v>1859</v>
      </c>
    </row>
    <row r="279" spans="1:13" x14ac:dyDescent="0.25">
      <c r="A279" s="1" t="s">
        <v>1907</v>
      </c>
      <c r="B279" s="44" t="s">
        <v>278</v>
      </c>
      <c r="C279" s="44" t="s">
        <v>1891</v>
      </c>
      <c r="D279" s="44" t="s">
        <v>1866</v>
      </c>
      <c r="E279" s="203" t="s">
        <v>1857</v>
      </c>
      <c r="F279" s="203">
        <v>5250</v>
      </c>
      <c r="G279" s="203">
        <v>2300</v>
      </c>
      <c r="H279" s="140">
        <f t="shared" si="8"/>
        <v>12.074999999999999</v>
      </c>
      <c r="I279" s="203" t="s">
        <v>1858</v>
      </c>
      <c r="J279" s="451"/>
      <c r="K279" s="452"/>
      <c r="L279" s="452"/>
      <c r="M279" s="451" t="s">
        <v>1859</v>
      </c>
    </row>
    <row r="280" spans="1:13" x14ac:dyDescent="0.25">
      <c r="A280" s="1" t="s">
        <v>1907</v>
      </c>
      <c r="B280" s="44" t="s">
        <v>278</v>
      </c>
      <c r="C280" s="44" t="s">
        <v>1892</v>
      </c>
      <c r="D280" s="44" t="s">
        <v>1866</v>
      </c>
      <c r="E280" s="203" t="s">
        <v>1857</v>
      </c>
      <c r="F280" s="203">
        <v>5250</v>
      </c>
      <c r="G280" s="203">
        <v>2300</v>
      </c>
      <c r="H280" s="140">
        <f t="shared" si="8"/>
        <v>12.074999999999999</v>
      </c>
      <c r="I280" s="203" t="s">
        <v>1858</v>
      </c>
      <c r="J280" s="451"/>
      <c r="K280" s="452"/>
      <c r="L280" s="452"/>
      <c r="M280" s="451" t="s">
        <v>1859</v>
      </c>
    </row>
    <row r="281" spans="1:13" x14ac:dyDescent="0.25">
      <c r="A281" s="1" t="s">
        <v>1907</v>
      </c>
      <c r="B281" s="44" t="s">
        <v>278</v>
      </c>
      <c r="C281" s="44" t="s">
        <v>1891</v>
      </c>
      <c r="D281" s="44" t="s">
        <v>1866</v>
      </c>
      <c r="E281" s="203" t="s">
        <v>1857</v>
      </c>
      <c r="F281" s="203">
        <v>5250</v>
      </c>
      <c r="G281" s="203">
        <v>2300</v>
      </c>
      <c r="H281" s="140">
        <f t="shared" si="8"/>
        <v>12.074999999999999</v>
      </c>
      <c r="I281" s="203" t="s">
        <v>1858</v>
      </c>
      <c r="J281" s="451"/>
      <c r="K281" s="452"/>
      <c r="L281" s="452"/>
      <c r="M281" s="451" t="s">
        <v>1859</v>
      </c>
    </row>
    <row r="282" spans="1:13" x14ac:dyDescent="0.25">
      <c r="A282" s="1" t="s">
        <v>1907</v>
      </c>
      <c r="B282" s="44" t="s">
        <v>278</v>
      </c>
      <c r="C282" s="44" t="s">
        <v>1863</v>
      </c>
      <c r="D282" s="44" t="s">
        <v>1861</v>
      </c>
      <c r="E282" s="203" t="s">
        <v>1857</v>
      </c>
      <c r="F282" s="203">
        <v>1500</v>
      </c>
      <c r="G282" s="203">
        <v>2300</v>
      </c>
      <c r="H282" s="140">
        <f t="shared" si="8"/>
        <v>3.4499999999999997</v>
      </c>
      <c r="I282" s="453">
        <f>H282</f>
        <v>3.4499999999999997</v>
      </c>
      <c r="J282" s="451"/>
      <c r="K282" s="452"/>
      <c r="L282" s="452"/>
      <c r="M282" s="451" t="s">
        <v>1859</v>
      </c>
    </row>
    <row r="283" spans="1:13" x14ac:dyDescent="0.25">
      <c r="A283" s="1" t="s">
        <v>1907</v>
      </c>
      <c r="B283" s="44" t="s">
        <v>278</v>
      </c>
      <c r="C283" s="44" t="s">
        <v>1863</v>
      </c>
      <c r="D283" s="44" t="s">
        <v>1861</v>
      </c>
      <c r="E283" s="203" t="s">
        <v>1857</v>
      </c>
      <c r="F283" s="203">
        <v>1500</v>
      </c>
      <c r="G283" s="203">
        <v>2300</v>
      </c>
      <c r="H283" s="140">
        <f t="shared" si="8"/>
        <v>3.4499999999999997</v>
      </c>
      <c r="I283" s="453">
        <f t="shared" ref="I283:I287" si="10">H283</f>
        <v>3.4499999999999997</v>
      </c>
      <c r="J283" s="451"/>
      <c r="K283" s="452"/>
      <c r="L283" s="452"/>
      <c r="M283" s="451" t="s">
        <v>1859</v>
      </c>
    </row>
    <row r="284" spans="1:13" x14ac:dyDescent="0.25">
      <c r="A284" s="1" t="s">
        <v>1907</v>
      </c>
      <c r="B284" s="44" t="s">
        <v>278</v>
      </c>
      <c r="C284" s="44" t="s">
        <v>1863</v>
      </c>
      <c r="D284" s="44" t="s">
        <v>1861</v>
      </c>
      <c r="E284" s="203" t="s">
        <v>1857</v>
      </c>
      <c r="F284" s="203">
        <v>1500</v>
      </c>
      <c r="G284" s="203">
        <v>2300</v>
      </c>
      <c r="H284" s="140">
        <f t="shared" si="8"/>
        <v>3.4499999999999997</v>
      </c>
      <c r="I284" s="453">
        <f t="shared" si="10"/>
        <v>3.4499999999999997</v>
      </c>
      <c r="J284" s="451"/>
      <c r="K284" s="452"/>
      <c r="L284" s="452"/>
      <c r="M284" s="451" t="s">
        <v>1859</v>
      </c>
    </row>
    <row r="285" spans="1:13" x14ac:dyDescent="0.25">
      <c r="A285" s="1" t="s">
        <v>1907</v>
      </c>
      <c r="B285" s="44" t="s">
        <v>278</v>
      </c>
      <c r="C285" s="44" t="s">
        <v>1863</v>
      </c>
      <c r="D285" s="44" t="s">
        <v>1861</v>
      </c>
      <c r="E285" s="203" t="s">
        <v>1857</v>
      </c>
      <c r="F285" s="203">
        <v>1500</v>
      </c>
      <c r="G285" s="203">
        <v>2300</v>
      </c>
      <c r="H285" s="140">
        <f t="shared" si="8"/>
        <v>3.4499999999999997</v>
      </c>
      <c r="I285" s="453">
        <f t="shared" si="10"/>
        <v>3.4499999999999997</v>
      </c>
      <c r="J285" s="451"/>
      <c r="K285" s="452"/>
      <c r="L285" s="452"/>
      <c r="M285" s="451" t="s">
        <v>1859</v>
      </c>
    </row>
    <row r="286" spans="1:13" x14ac:dyDescent="0.25">
      <c r="A286" s="1" t="s">
        <v>1907</v>
      </c>
      <c r="B286" s="44" t="s">
        <v>278</v>
      </c>
      <c r="C286" s="44" t="s">
        <v>1863</v>
      </c>
      <c r="D286" s="44" t="s">
        <v>1861</v>
      </c>
      <c r="E286" s="203" t="s">
        <v>1857</v>
      </c>
      <c r="F286" s="203">
        <v>1500</v>
      </c>
      <c r="G286" s="203">
        <v>2300</v>
      </c>
      <c r="H286" s="140">
        <f t="shared" si="8"/>
        <v>3.4499999999999997</v>
      </c>
      <c r="I286" s="453">
        <f t="shared" si="10"/>
        <v>3.4499999999999997</v>
      </c>
      <c r="J286" s="451"/>
      <c r="K286" s="452"/>
      <c r="L286" s="452"/>
      <c r="M286" s="451" t="s">
        <v>1859</v>
      </c>
    </row>
    <row r="287" spans="1:13" x14ac:dyDescent="0.25">
      <c r="A287" s="1" t="s">
        <v>1907</v>
      </c>
      <c r="B287" s="44" t="s">
        <v>278</v>
      </c>
      <c r="C287" s="44" t="s">
        <v>1863</v>
      </c>
      <c r="D287" s="44" t="s">
        <v>1861</v>
      </c>
      <c r="E287" s="203" t="s">
        <v>1857</v>
      </c>
      <c r="F287" s="203">
        <v>1500</v>
      </c>
      <c r="G287" s="203">
        <v>2300</v>
      </c>
      <c r="H287" s="140">
        <f t="shared" si="8"/>
        <v>3.4499999999999997</v>
      </c>
      <c r="I287" s="453">
        <f t="shared" si="10"/>
        <v>3.4499999999999997</v>
      </c>
      <c r="J287" s="451"/>
      <c r="K287" s="452"/>
      <c r="L287" s="452"/>
      <c r="M287" s="451" t="s">
        <v>1859</v>
      </c>
    </row>
    <row r="288" spans="1:13" x14ac:dyDescent="0.25">
      <c r="A288" s="1" t="s">
        <v>1907</v>
      </c>
      <c r="B288" s="44" t="s">
        <v>228</v>
      </c>
      <c r="C288" s="44" t="s">
        <v>1863</v>
      </c>
      <c r="D288" s="44" t="s">
        <v>1866</v>
      </c>
      <c r="E288" s="203" t="s">
        <v>1857</v>
      </c>
      <c r="F288" s="203">
        <v>1500</v>
      </c>
      <c r="G288" s="203">
        <v>2300</v>
      </c>
      <c r="H288" s="140">
        <f t="shared" si="8"/>
        <v>3.4499999999999997</v>
      </c>
      <c r="I288" s="453" t="s">
        <v>1858</v>
      </c>
      <c r="J288" s="451"/>
      <c r="K288" s="452"/>
      <c r="L288" s="452"/>
      <c r="M288" s="451" t="s">
        <v>1859</v>
      </c>
    </row>
    <row r="289" spans="1:13" x14ac:dyDescent="0.25">
      <c r="A289" s="1" t="s">
        <v>1907</v>
      </c>
      <c r="B289" s="44" t="s">
        <v>228</v>
      </c>
      <c r="C289" s="44" t="s">
        <v>1864</v>
      </c>
      <c r="D289" s="44" t="s">
        <v>1866</v>
      </c>
      <c r="E289" s="203" t="s">
        <v>1857</v>
      </c>
      <c r="F289" s="203">
        <v>1800</v>
      </c>
      <c r="G289" s="203">
        <v>2300</v>
      </c>
      <c r="H289" s="140">
        <f t="shared" si="8"/>
        <v>4.1399999999999997</v>
      </c>
      <c r="I289" s="453" t="s">
        <v>1858</v>
      </c>
      <c r="J289" s="451"/>
      <c r="K289" s="452"/>
      <c r="L289" s="452"/>
      <c r="M289" s="451" t="s">
        <v>1859</v>
      </c>
    </row>
    <row r="290" spans="1:13" x14ac:dyDescent="0.25">
      <c r="A290" s="1" t="s">
        <v>1907</v>
      </c>
      <c r="B290" s="44" t="s">
        <v>228</v>
      </c>
      <c r="C290" s="44" t="s">
        <v>1863</v>
      </c>
      <c r="D290" s="44" t="s">
        <v>1866</v>
      </c>
      <c r="E290" s="203" t="s">
        <v>1857</v>
      </c>
      <c r="F290" s="203">
        <v>1500</v>
      </c>
      <c r="G290" s="203">
        <v>2300</v>
      </c>
      <c r="H290" s="140">
        <f t="shared" si="8"/>
        <v>3.4499999999999997</v>
      </c>
      <c r="I290" s="453" t="s">
        <v>1858</v>
      </c>
      <c r="J290" s="451"/>
      <c r="K290" s="452"/>
      <c r="L290" s="452"/>
      <c r="M290" s="451" t="s">
        <v>1859</v>
      </c>
    </row>
    <row r="291" spans="1:13" x14ac:dyDescent="0.25">
      <c r="A291" s="1" t="s">
        <v>1907</v>
      </c>
      <c r="B291" s="44" t="s">
        <v>228</v>
      </c>
      <c r="C291" s="44" t="s">
        <v>1863</v>
      </c>
      <c r="D291" s="44" t="s">
        <v>1866</v>
      </c>
      <c r="E291" s="203" t="s">
        <v>1857</v>
      </c>
      <c r="F291" s="203">
        <v>1500</v>
      </c>
      <c r="G291" s="203">
        <v>2300</v>
      </c>
      <c r="H291" s="140">
        <f t="shared" si="8"/>
        <v>3.4499999999999997</v>
      </c>
      <c r="I291" s="453" t="s">
        <v>1858</v>
      </c>
      <c r="J291" s="451"/>
      <c r="K291" s="452"/>
      <c r="L291" s="452"/>
      <c r="M291" s="451" t="s">
        <v>1859</v>
      </c>
    </row>
    <row r="292" spans="1:13" x14ac:dyDescent="0.25">
      <c r="A292" s="1" t="s">
        <v>1907</v>
      </c>
      <c r="B292" s="44" t="s">
        <v>228</v>
      </c>
      <c r="C292" s="44" t="s">
        <v>1864</v>
      </c>
      <c r="D292" s="44" t="s">
        <v>1866</v>
      </c>
      <c r="E292" s="203" t="s">
        <v>1857</v>
      </c>
      <c r="F292" s="203">
        <v>1800</v>
      </c>
      <c r="G292" s="203">
        <v>2300</v>
      </c>
      <c r="H292" s="140">
        <f t="shared" si="8"/>
        <v>4.1399999999999997</v>
      </c>
      <c r="I292" s="453" t="s">
        <v>1858</v>
      </c>
      <c r="J292" s="451"/>
      <c r="K292" s="452"/>
      <c r="L292" s="452"/>
      <c r="M292" s="451" t="s">
        <v>1859</v>
      </c>
    </row>
    <row r="293" spans="1:13" x14ac:dyDescent="0.25">
      <c r="A293" s="1" t="s">
        <v>1907</v>
      </c>
      <c r="B293" s="44" t="s">
        <v>228</v>
      </c>
      <c r="C293" s="44" t="s">
        <v>1863</v>
      </c>
      <c r="D293" s="44" t="s">
        <v>1866</v>
      </c>
      <c r="E293" s="203" t="s">
        <v>1857</v>
      </c>
      <c r="F293" s="203">
        <v>1500</v>
      </c>
      <c r="G293" s="203">
        <v>2300</v>
      </c>
      <c r="H293" s="140">
        <f t="shared" si="8"/>
        <v>3.4499999999999997</v>
      </c>
      <c r="I293" s="453" t="s">
        <v>1858</v>
      </c>
      <c r="J293" s="451"/>
      <c r="K293" s="452"/>
      <c r="L293" s="452"/>
      <c r="M293" s="451" t="s">
        <v>1859</v>
      </c>
    </row>
    <row r="294" spans="1:13" x14ac:dyDescent="0.25">
      <c r="A294" s="1" t="s">
        <v>1907</v>
      </c>
      <c r="B294" s="44" t="s">
        <v>228</v>
      </c>
      <c r="C294" s="44" t="s">
        <v>1914</v>
      </c>
      <c r="D294" s="44" t="s">
        <v>1866</v>
      </c>
      <c r="E294" s="203" t="s">
        <v>1857</v>
      </c>
      <c r="F294" s="203">
        <v>1500</v>
      </c>
      <c r="G294" s="203">
        <v>2300</v>
      </c>
      <c r="H294" s="140">
        <f t="shared" si="8"/>
        <v>3.4499999999999997</v>
      </c>
      <c r="I294" s="453" t="s">
        <v>1858</v>
      </c>
      <c r="J294" s="451"/>
      <c r="K294" s="452"/>
      <c r="L294" s="452"/>
      <c r="M294" s="451" t="s">
        <v>1859</v>
      </c>
    </row>
    <row r="295" spans="1:13" x14ac:dyDescent="0.25">
      <c r="A295" s="1" t="s">
        <v>1907</v>
      </c>
      <c r="B295" s="44" t="s">
        <v>228</v>
      </c>
      <c r="C295" s="44" t="s">
        <v>1912</v>
      </c>
      <c r="D295" s="44" t="s">
        <v>1866</v>
      </c>
      <c r="E295" s="203" t="s">
        <v>1857</v>
      </c>
      <c r="F295" s="203">
        <v>1800</v>
      </c>
      <c r="G295" s="203">
        <v>2300</v>
      </c>
      <c r="H295" s="140">
        <f t="shared" si="8"/>
        <v>4.1399999999999997</v>
      </c>
      <c r="I295" s="453" t="s">
        <v>1858</v>
      </c>
      <c r="J295" s="451"/>
      <c r="K295" s="452"/>
      <c r="L295" s="452"/>
      <c r="M295" s="451" t="s">
        <v>1859</v>
      </c>
    </row>
    <row r="296" spans="1:13" x14ac:dyDescent="0.25">
      <c r="A296" s="1" t="s">
        <v>1907</v>
      </c>
      <c r="B296" s="44" t="s">
        <v>228</v>
      </c>
      <c r="C296" s="44" t="s">
        <v>1910</v>
      </c>
      <c r="D296" s="44" t="s">
        <v>1866</v>
      </c>
      <c r="E296" s="220" t="s">
        <v>1909</v>
      </c>
      <c r="F296" s="203">
        <v>1800</v>
      </c>
      <c r="G296" s="203">
        <v>2300</v>
      </c>
      <c r="H296" s="140">
        <f t="shared" si="8"/>
        <v>4.1399999999999997</v>
      </c>
      <c r="I296" s="453" t="s">
        <v>1858</v>
      </c>
      <c r="J296" s="451"/>
      <c r="K296" s="452"/>
      <c r="L296" s="452"/>
      <c r="M296" s="451" t="s">
        <v>1859</v>
      </c>
    </row>
    <row r="297" spans="1:13" x14ac:dyDescent="0.25">
      <c r="A297" s="1" t="s">
        <v>1907</v>
      </c>
      <c r="B297" s="44" t="s">
        <v>228</v>
      </c>
      <c r="C297" s="44" t="s">
        <v>1911</v>
      </c>
      <c r="D297" s="44" t="s">
        <v>1866</v>
      </c>
      <c r="E297" s="220" t="s">
        <v>1909</v>
      </c>
      <c r="F297" s="203">
        <v>1500</v>
      </c>
      <c r="G297" s="203">
        <v>2300</v>
      </c>
      <c r="H297" s="140">
        <f t="shared" si="8"/>
        <v>3.4499999999999997</v>
      </c>
      <c r="I297" s="453" t="s">
        <v>1858</v>
      </c>
      <c r="J297" s="451"/>
      <c r="K297" s="452"/>
      <c r="L297" s="452"/>
      <c r="M297" s="451" t="s">
        <v>1859</v>
      </c>
    </row>
    <row r="298" spans="1:13" x14ac:dyDescent="0.25">
      <c r="A298" s="1" t="s">
        <v>1907</v>
      </c>
      <c r="B298" s="44" t="s">
        <v>228</v>
      </c>
      <c r="C298" s="44" t="s">
        <v>1908</v>
      </c>
      <c r="D298" s="44" t="s">
        <v>1869</v>
      </c>
      <c r="E298" s="220" t="s">
        <v>1909</v>
      </c>
      <c r="F298" s="203">
        <v>1500</v>
      </c>
      <c r="G298" s="203">
        <v>2300</v>
      </c>
      <c r="H298" s="140">
        <f t="shared" si="8"/>
        <v>3.4499999999999997</v>
      </c>
      <c r="I298" s="453" t="s">
        <v>1858</v>
      </c>
      <c r="J298" s="451"/>
      <c r="K298" s="452"/>
      <c r="L298" s="452"/>
      <c r="M298" s="451" t="s">
        <v>1859</v>
      </c>
    </row>
    <row r="299" spans="1:13" x14ac:dyDescent="0.25">
      <c r="A299" s="1" t="s">
        <v>1907</v>
      </c>
      <c r="B299" s="44" t="s">
        <v>228</v>
      </c>
      <c r="C299" s="44" t="s">
        <v>1910</v>
      </c>
      <c r="D299" s="44" t="s">
        <v>1869</v>
      </c>
      <c r="E299" s="220" t="s">
        <v>1909</v>
      </c>
      <c r="F299" s="203">
        <v>1800</v>
      </c>
      <c r="G299" s="203">
        <v>2300</v>
      </c>
      <c r="H299" s="140">
        <f t="shared" si="8"/>
        <v>4.1399999999999997</v>
      </c>
      <c r="I299" s="453" t="s">
        <v>1858</v>
      </c>
      <c r="J299" s="451"/>
      <c r="K299" s="452"/>
      <c r="L299" s="452"/>
      <c r="M299" s="451" t="s">
        <v>1859</v>
      </c>
    </row>
    <row r="300" spans="1:13" x14ac:dyDescent="0.25">
      <c r="A300" s="1" t="s">
        <v>1907</v>
      </c>
      <c r="B300" s="44" t="s">
        <v>228</v>
      </c>
      <c r="C300" s="44" t="s">
        <v>1911</v>
      </c>
      <c r="D300" s="44" t="s">
        <v>1869</v>
      </c>
      <c r="E300" s="220" t="s">
        <v>1909</v>
      </c>
      <c r="F300" s="203">
        <v>1500</v>
      </c>
      <c r="G300" s="203">
        <v>2300</v>
      </c>
      <c r="H300" s="140">
        <f t="shared" si="8"/>
        <v>3.4499999999999997</v>
      </c>
      <c r="I300" s="453" t="s">
        <v>1858</v>
      </c>
      <c r="J300" s="451"/>
      <c r="K300" s="452"/>
      <c r="L300" s="452"/>
      <c r="M300" s="451" t="s">
        <v>1859</v>
      </c>
    </row>
    <row r="301" spans="1:13" x14ac:dyDescent="0.25">
      <c r="A301" s="1" t="s">
        <v>1907</v>
      </c>
      <c r="B301" s="44" t="s">
        <v>228</v>
      </c>
      <c r="C301" s="44" t="s">
        <v>1910</v>
      </c>
      <c r="D301" s="44" t="s">
        <v>1869</v>
      </c>
      <c r="E301" s="220" t="s">
        <v>1909</v>
      </c>
      <c r="F301" s="203">
        <v>1800</v>
      </c>
      <c r="G301" s="203">
        <v>2300</v>
      </c>
      <c r="H301" s="140">
        <f t="shared" si="8"/>
        <v>4.1399999999999997</v>
      </c>
      <c r="I301" s="453" t="s">
        <v>1858</v>
      </c>
      <c r="J301" s="451"/>
      <c r="K301" s="452"/>
      <c r="L301" s="452"/>
      <c r="M301" s="451" t="s">
        <v>1859</v>
      </c>
    </row>
    <row r="302" spans="1:13" x14ac:dyDescent="0.25">
      <c r="A302" s="1" t="s">
        <v>1907</v>
      </c>
      <c r="B302" s="44" t="s">
        <v>228</v>
      </c>
      <c r="C302" s="44" t="s">
        <v>1910</v>
      </c>
      <c r="D302" s="44" t="s">
        <v>1869</v>
      </c>
      <c r="E302" s="220" t="s">
        <v>1909</v>
      </c>
      <c r="F302" s="203">
        <v>1800</v>
      </c>
      <c r="G302" s="203">
        <v>2300</v>
      </c>
      <c r="H302" s="140">
        <f t="shared" ref="H302:H365" si="11">F302*G302*0.000001</f>
        <v>4.1399999999999997</v>
      </c>
      <c r="I302" s="453" t="s">
        <v>1858</v>
      </c>
      <c r="J302" s="451"/>
      <c r="K302" s="452"/>
      <c r="L302" s="452"/>
      <c r="M302" s="451" t="s">
        <v>1859</v>
      </c>
    </row>
    <row r="303" spans="1:13" x14ac:dyDescent="0.25">
      <c r="A303" s="1" t="s">
        <v>1907</v>
      </c>
      <c r="B303" s="44" t="s">
        <v>228</v>
      </c>
      <c r="C303" s="44" t="s">
        <v>1911</v>
      </c>
      <c r="D303" s="44" t="s">
        <v>1869</v>
      </c>
      <c r="E303" s="220" t="s">
        <v>1909</v>
      </c>
      <c r="F303" s="203">
        <v>1500</v>
      </c>
      <c r="G303" s="203">
        <v>2300</v>
      </c>
      <c r="H303" s="140">
        <f t="shared" si="11"/>
        <v>3.4499999999999997</v>
      </c>
      <c r="I303" s="453" t="s">
        <v>1858</v>
      </c>
      <c r="J303" s="451"/>
      <c r="K303" s="452"/>
      <c r="L303" s="452"/>
      <c r="M303" s="451" t="s">
        <v>1859</v>
      </c>
    </row>
    <row r="304" spans="1:13" x14ac:dyDescent="0.25">
      <c r="A304" s="1" t="s">
        <v>1907</v>
      </c>
      <c r="B304" s="44" t="s">
        <v>228</v>
      </c>
      <c r="C304" s="44" t="s">
        <v>1910</v>
      </c>
      <c r="D304" s="44" t="s">
        <v>1869</v>
      </c>
      <c r="E304" s="220" t="s">
        <v>1909</v>
      </c>
      <c r="F304" s="203">
        <v>1800</v>
      </c>
      <c r="G304" s="203">
        <v>2300</v>
      </c>
      <c r="H304" s="140">
        <f t="shared" si="11"/>
        <v>4.1399999999999997</v>
      </c>
      <c r="I304" s="453" t="s">
        <v>1858</v>
      </c>
      <c r="J304" s="451"/>
      <c r="K304" s="452"/>
      <c r="L304" s="452"/>
      <c r="M304" s="451" t="s">
        <v>1859</v>
      </c>
    </row>
    <row r="305" spans="1:13" x14ac:dyDescent="0.25">
      <c r="A305" s="1" t="s">
        <v>1907</v>
      </c>
      <c r="B305" s="44" t="s">
        <v>228</v>
      </c>
      <c r="C305" s="44" t="s">
        <v>1910</v>
      </c>
      <c r="D305" s="44" t="s">
        <v>1869</v>
      </c>
      <c r="E305" s="220" t="s">
        <v>1909</v>
      </c>
      <c r="F305" s="203">
        <v>1800</v>
      </c>
      <c r="G305" s="203">
        <v>2300</v>
      </c>
      <c r="H305" s="140">
        <f t="shared" si="11"/>
        <v>4.1399999999999997</v>
      </c>
      <c r="I305" s="453" t="s">
        <v>1858</v>
      </c>
      <c r="J305" s="451"/>
      <c r="K305" s="452"/>
      <c r="L305" s="452"/>
      <c r="M305" s="451" t="s">
        <v>1859</v>
      </c>
    </row>
    <row r="306" spans="1:13" x14ac:dyDescent="0.25">
      <c r="A306" s="1" t="s">
        <v>1907</v>
      </c>
      <c r="B306" s="44" t="s">
        <v>228</v>
      </c>
      <c r="C306" s="44" t="s">
        <v>1908</v>
      </c>
      <c r="D306" s="44" t="s">
        <v>1869</v>
      </c>
      <c r="E306" s="220" t="s">
        <v>1909</v>
      </c>
      <c r="F306" s="203">
        <v>1500</v>
      </c>
      <c r="G306" s="203">
        <v>2300</v>
      </c>
      <c r="H306" s="140">
        <f t="shared" si="11"/>
        <v>3.4499999999999997</v>
      </c>
      <c r="I306" s="453" t="s">
        <v>1858</v>
      </c>
      <c r="J306" s="451"/>
      <c r="K306" s="452"/>
      <c r="L306" s="452"/>
      <c r="M306" s="451" t="s">
        <v>1859</v>
      </c>
    </row>
    <row r="307" spans="1:13" x14ac:dyDescent="0.25">
      <c r="A307" s="1" t="s">
        <v>1907</v>
      </c>
      <c r="B307" s="44" t="s">
        <v>228</v>
      </c>
      <c r="C307" s="44" t="s">
        <v>1910</v>
      </c>
      <c r="D307" s="44" t="s">
        <v>1869</v>
      </c>
      <c r="E307" s="220" t="s">
        <v>1909</v>
      </c>
      <c r="F307" s="203">
        <v>1800</v>
      </c>
      <c r="G307" s="203">
        <v>2300</v>
      </c>
      <c r="H307" s="140">
        <f t="shared" si="11"/>
        <v>4.1399999999999997</v>
      </c>
      <c r="I307" s="453" t="s">
        <v>1858</v>
      </c>
      <c r="J307" s="451"/>
      <c r="K307" s="452"/>
      <c r="L307" s="452"/>
      <c r="M307" s="451" t="s">
        <v>1859</v>
      </c>
    </row>
    <row r="308" spans="1:13" x14ac:dyDescent="0.25">
      <c r="A308" s="1" t="s">
        <v>1907</v>
      </c>
      <c r="B308" s="44" t="s">
        <v>228</v>
      </c>
      <c r="C308" s="44" t="s">
        <v>1908</v>
      </c>
      <c r="D308" s="44" t="s">
        <v>1869</v>
      </c>
      <c r="E308" s="220" t="s">
        <v>1909</v>
      </c>
      <c r="F308" s="203">
        <v>1500</v>
      </c>
      <c r="G308" s="203">
        <v>2300</v>
      </c>
      <c r="H308" s="140">
        <f t="shared" si="11"/>
        <v>3.4499999999999997</v>
      </c>
      <c r="I308" s="453" t="s">
        <v>1858</v>
      </c>
      <c r="J308" s="451"/>
      <c r="K308" s="452"/>
      <c r="L308" s="452"/>
      <c r="M308" s="451" t="s">
        <v>1859</v>
      </c>
    </row>
    <row r="309" spans="1:13" x14ac:dyDescent="0.25">
      <c r="A309" s="1" t="s">
        <v>1907</v>
      </c>
      <c r="B309" s="44" t="s">
        <v>228</v>
      </c>
      <c r="C309" s="44" t="s">
        <v>1878</v>
      </c>
      <c r="D309" s="44" t="s">
        <v>1869</v>
      </c>
      <c r="E309" s="203" t="s">
        <v>1857</v>
      </c>
      <c r="F309" s="203">
        <v>750</v>
      </c>
      <c r="G309" s="203">
        <v>2300</v>
      </c>
      <c r="H309" s="140">
        <f t="shared" si="11"/>
        <v>1.7249999999999999</v>
      </c>
      <c r="I309" s="453" t="s">
        <v>1858</v>
      </c>
      <c r="J309" s="451"/>
      <c r="K309" s="452"/>
      <c r="L309" s="452"/>
      <c r="M309" s="451" t="s">
        <v>1859</v>
      </c>
    </row>
    <row r="310" spans="1:13" x14ac:dyDescent="0.25">
      <c r="A310" s="1" t="s">
        <v>1907</v>
      </c>
      <c r="B310" s="44" t="s">
        <v>228</v>
      </c>
      <c r="C310" s="44" t="s">
        <v>1863</v>
      </c>
      <c r="D310" s="44" t="s">
        <v>1861</v>
      </c>
      <c r="E310" s="203" t="s">
        <v>1857</v>
      </c>
      <c r="F310" s="203">
        <v>1500</v>
      </c>
      <c r="G310" s="203">
        <v>2300</v>
      </c>
      <c r="H310" s="140">
        <f t="shared" si="11"/>
        <v>3.4499999999999997</v>
      </c>
      <c r="I310" s="453" t="s">
        <v>1858</v>
      </c>
      <c r="J310" s="451"/>
      <c r="K310" s="452"/>
      <c r="L310" s="452"/>
      <c r="M310" s="451" t="s">
        <v>1859</v>
      </c>
    </row>
    <row r="311" spans="1:13" x14ac:dyDescent="0.25">
      <c r="A311" s="1" t="s">
        <v>1907</v>
      </c>
      <c r="B311" s="44" t="s">
        <v>228</v>
      </c>
      <c r="C311" s="44" t="s">
        <v>1898</v>
      </c>
      <c r="D311" s="44" t="s">
        <v>1869</v>
      </c>
      <c r="E311" s="203" t="s">
        <v>1857</v>
      </c>
      <c r="F311" s="203">
        <v>2970</v>
      </c>
      <c r="G311" s="203">
        <v>1100</v>
      </c>
      <c r="H311" s="140">
        <f t="shared" si="11"/>
        <v>3.2669999999999999</v>
      </c>
      <c r="I311" s="453" t="s">
        <v>1858</v>
      </c>
      <c r="J311" s="451"/>
      <c r="K311" s="452"/>
      <c r="L311" s="452"/>
      <c r="M311" s="451" t="s">
        <v>1859</v>
      </c>
    </row>
    <row r="312" spans="1:13" x14ac:dyDescent="0.25">
      <c r="A312" s="1" t="s">
        <v>1907</v>
      </c>
      <c r="B312" s="44" t="s">
        <v>228</v>
      </c>
      <c r="C312" s="44" t="s">
        <v>1905</v>
      </c>
      <c r="D312" s="44" t="s">
        <v>1856</v>
      </c>
      <c r="E312" s="203" t="s">
        <v>1857</v>
      </c>
      <c r="F312" s="203">
        <v>3070</v>
      </c>
      <c r="G312" s="203">
        <v>1100</v>
      </c>
      <c r="H312" s="140">
        <f t="shared" si="11"/>
        <v>3.3769999999999998</v>
      </c>
      <c r="I312" s="453" t="s">
        <v>1858</v>
      </c>
      <c r="J312" s="451"/>
      <c r="K312" s="452"/>
      <c r="L312" s="452"/>
      <c r="M312" s="451" t="s">
        <v>1859</v>
      </c>
    </row>
    <row r="313" spans="1:13" x14ac:dyDescent="0.25">
      <c r="A313" s="1" t="s">
        <v>1907</v>
      </c>
      <c r="B313" s="44" t="s">
        <v>228</v>
      </c>
      <c r="C313" s="44" t="s">
        <v>1902</v>
      </c>
      <c r="D313" s="44" t="s">
        <v>1856</v>
      </c>
      <c r="E313" s="203" t="s">
        <v>1857</v>
      </c>
      <c r="F313" s="203">
        <v>1500</v>
      </c>
      <c r="G313" s="203">
        <v>2300</v>
      </c>
      <c r="H313" s="140">
        <f t="shared" si="11"/>
        <v>3.4499999999999997</v>
      </c>
      <c r="I313" s="453">
        <f t="shared" ref="I313:I330" si="12">H313</f>
        <v>3.4499999999999997</v>
      </c>
      <c r="J313" s="451"/>
      <c r="K313" s="452"/>
      <c r="L313" s="452"/>
      <c r="M313" s="451" t="s">
        <v>1859</v>
      </c>
    </row>
    <row r="314" spans="1:13" x14ac:dyDescent="0.25">
      <c r="A314" s="1" t="s">
        <v>1907</v>
      </c>
      <c r="B314" s="44" t="s">
        <v>228</v>
      </c>
      <c r="C314" s="44" t="s">
        <v>1901</v>
      </c>
      <c r="D314" s="44" t="s">
        <v>1856</v>
      </c>
      <c r="E314" s="203" t="s">
        <v>1857</v>
      </c>
      <c r="F314" s="203">
        <v>750</v>
      </c>
      <c r="G314" s="203">
        <v>2300</v>
      </c>
      <c r="H314" s="140">
        <f t="shared" si="11"/>
        <v>1.7249999999999999</v>
      </c>
      <c r="I314" s="453">
        <f t="shared" si="12"/>
        <v>1.7249999999999999</v>
      </c>
      <c r="J314" s="451"/>
      <c r="K314" s="452"/>
      <c r="L314" s="452"/>
      <c r="M314" s="451" t="s">
        <v>1859</v>
      </c>
    </row>
    <row r="315" spans="1:13" x14ac:dyDescent="0.25">
      <c r="A315" s="1" t="s">
        <v>1907</v>
      </c>
      <c r="B315" s="44" t="s">
        <v>228</v>
      </c>
      <c r="C315" s="44" t="s">
        <v>1901</v>
      </c>
      <c r="D315" s="44" t="s">
        <v>1856</v>
      </c>
      <c r="E315" s="203" t="s">
        <v>1857</v>
      </c>
      <c r="F315" s="203">
        <v>750</v>
      </c>
      <c r="G315" s="203">
        <v>2300</v>
      </c>
      <c r="H315" s="140">
        <f t="shared" si="11"/>
        <v>1.7249999999999999</v>
      </c>
      <c r="I315" s="453">
        <f t="shared" si="12"/>
        <v>1.7249999999999999</v>
      </c>
      <c r="J315" s="451"/>
      <c r="K315" s="452"/>
      <c r="L315" s="452"/>
      <c r="M315" s="451" t="s">
        <v>1859</v>
      </c>
    </row>
    <row r="316" spans="1:13" x14ac:dyDescent="0.25">
      <c r="A316" s="1" t="s">
        <v>1907</v>
      </c>
      <c r="B316" s="44" t="s">
        <v>228</v>
      </c>
      <c r="C316" s="44" t="s">
        <v>1901</v>
      </c>
      <c r="D316" s="44" t="s">
        <v>1856</v>
      </c>
      <c r="E316" s="203" t="s">
        <v>1857</v>
      </c>
      <c r="F316" s="203">
        <v>750</v>
      </c>
      <c r="G316" s="203">
        <v>2300</v>
      </c>
      <c r="H316" s="140">
        <f t="shared" si="11"/>
        <v>1.7249999999999999</v>
      </c>
      <c r="I316" s="453">
        <f t="shared" si="12"/>
        <v>1.7249999999999999</v>
      </c>
      <c r="J316" s="451"/>
      <c r="K316" s="452"/>
      <c r="L316" s="452"/>
      <c r="M316" s="451" t="s">
        <v>1859</v>
      </c>
    </row>
    <row r="317" spans="1:13" x14ac:dyDescent="0.25">
      <c r="A317" s="1" t="s">
        <v>1907</v>
      </c>
      <c r="B317" s="44" t="s">
        <v>228</v>
      </c>
      <c r="C317" s="44" t="s">
        <v>1901</v>
      </c>
      <c r="D317" s="44" t="s">
        <v>1856</v>
      </c>
      <c r="E317" s="203" t="s">
        <v>1857</v>
      </c>
      <c r="F317" s="203">
        <v>750</v>
      </c>
      <c r="G317" s="203">
        <v>2300</v>
      </c>
      <c r="H317" s="140">
        <f t="shared" si="11"/>
        <v>1.7249999999999999</v>
      </c>
      <c r="I317" s="453">
        <f t="shared" si="12"/>
        <v>1.7249999999999999</v>
      </c>
      <c r="J317" s="451"/>
      <c r="K317" s="452"/>
      <c r="L317" s="452"/>
      <c r="M317" s="451" t="s">
        <v>1859</v>
      </c>
    </row>
    <row r="318" spans="1:13" x14ac:dyDescent="0.25">
      <c r="A318" s="1" t="s">
        <v>1907</v>
      </c>
      <c r="B318" s="44" t="s">
        <v>228</v>
      </c>
      <c r="C318" s="44" t="s">
        <v>1902</v>
      </c>
      <c r="D318" s="44" t="s">
        <v>1856</v>
      </c>
      <c r="E318" s="203" t="s">
        <v>1857</v>
      </c>
      <c r="F318" s="203">
        <v>1500</v>
      </c>
      <c r="G318" s="203">
        <v>2300</v>
      </c>
      <c r="H318" s="140">
        <f t="shared" si="11"/>
        <v>3.4499999999999997</v>
      </c>
      <c r="I318" s="453">
        <f t="shared" si="12"/>
        <v>3.4499999999999997</v>
      </c>
      <c r="J318" s="451"/>
      <c r="K318" s="452"/>
      <c r="L318" s="452"/>
      <c r="M318" s="451" t="s">
        <v>1859</v>
      </c>
    </row>
    <row r="319" spans="1:13" x14ac:dyDescent="0.25">
      <c r="A319" s="1" t="s">
        <v>1907</v>
      </c>
      <c r="B319" s="44" t="s">
        <v>228</v>
      </c>
      <c r="C319" s="44" t="s">
        <v>1901</v>
      </c>
      <c r="D319" s="44" t="s">
        <v>1856</v>
      </c>
      <c r="E319" s="203" t="s">
        <v>1857</v>
      </c>
      <c r="F319" s="203">
        <v>750</v>
      </c>
      <c r="G319" s="203">
        <v>2300</v>
      </c>
      <c r="H319" s="140">
        <f t="shared" si="11"/>
        <v>1.7249999999999999</v>
      </c>
      <c r="I319" s="453">
        <f t="shared" si="12"/>
        <v>1.7249999999999999</v>
      </c>
      <c r="J319" s="451"/>
      <c r="K319" s="452"/>
      <c r="L319" s="452"/>
      <c r="M319" s="451" t="s">
        <v>1859</v>
      </c>
    </row>
    <row r="320" spans="1:13" x14ac:dyDescent="0.25">
      <c r="A320" s="1" t="s">
        <v>1907</v>
      </c>
      <c r="B320" s="44" t="s">
        <v>228</v>
      </c>
      <c r="C320" s="44" t="s">
        <v>1901</v>
      </c>
      <c r="D320" s="44" t="s">
        <v>1856</v>
      </c>
      <c r="E320" s="203" t="s">
        <v>1857</v>
      </c>
      <c r="F320" s="203">
        <v>750</v>
      </c>
      <c r="G320" s="203">
        <v>2300</v>
      </c>
      <c r="H320" s="140">
        <f t="shared" si="11"/>
        <v>1.7249999999999999</v>
      </c>
      <c r="I320" s="453">
        <f t="shared" si="12"/>
        <v>1.7249999999999999</v>
      </c>
      <c r="J320" s="451"/>
      <c r="K320" s="452"/>
      <c r="L320" s="452"/>
      <c r="M320" s="451" t="s">
        <v>1859</v>
      </c>
    </row>
    <row r="321" spans="1:13" x14ac:dyDescent="0.25">
      <c r="A321" s="1" t="s">
        <v>1907</v>
      </c>
      <c r="B321" s="44" t="s">
        <v>228</v>
      </c>
      <c r="C321" s="44" t="s">
        <v>1901</v>
      </c>
      <c r="D321" s="44" t="s">
        <v>1856</v>
      </c>
      <c r="E321" s="203" t="s">
        <v>1857</v>
      </c>
      <c r="F321" s="203">
        <v>750</v>
      </c>
      <c r="G321" s="203">
        <v>2300</v>
      </c>
      <c r="H321" s="140">
        <f t="shared" si="11"/>
        <v>1.7249999999999999</v>
      </c>
      <c r="I321" s="453">
        <f t="shared" si="12"/>
        <v>1.7249999999999999</v>
      </c>
      <c r="J321" s="451"/>
      <c r="K321" s="452"/>
      <c r="L321" s="452"/>
      <c r="M321" s="451" t="s">
        <v>1859</v>
      </c>
    </row>
    <row r="322" spans="1:13" x14ac:dyDescent="0.25">
      <c r="A322" s="1" t="s">
        <v>1907</v>
      </c>
      <c r="B322" s="44" t="s">
        <v>228</v>
      </c>
      <c r="C322" s="44" t="s">
        <v>1901</v>
      </c>
      <c r="D322" s="44" t="s">
        <v>1856</v>
      </c>
      <c r="E322" s="203" t="s">
        <v>1857</v>
      </c>
      <c r="F322" s="203">
        <v>750</v>
      </c>
      <c r="G322" s="203">
        <v>2300</v>
      </c>
      <c r="H322" s="140">
        <f t="shared" si="11"/>
        <v>1.7249999999999999</v>
      </c>
      <c r="I322" s="453">
        <f t="shared" si="12"/>
        <v>1.7249999999999999</v>
      </c>
      <c r="J322" s="451"/>
      <c r="K322" s="452"/>
      <c r="L322" s="452"/>
      <c r="M322" s="451" t="s">
        <v>1859</v>
      </c>
    </row>
    <row r="323" spans="1:13" x14ac:dyDescent="0.25">
      <c r="A323" s="1" t="s">
        <v>1907</v>
      </c>
      <c r="B323" s="44" t="s">
        <v>228</v>
      </c>
      <c r="C323" s="44" t="s">
        <v>1915</v>
      </c>
      <c r="D323" s="44" t="s">
        <v>1861</v>
      </c>
      <c r="E323" s="220" t="s">
        <v>1909</v>
      </c>
      <c r="F323" s="203">
        <v>1550</v>
      </c>
      <c r="G323" s="203">
        <v>1550</v>
      </c>
      <c r="H323" s="140">
        <f t="shared" si="11"/>
        <v>2.4024999999999999</v>
      </c>
      <c r="I323" s="496">
        <f t="shared" si="12"/>
        <v>2.4024999999999999</v>
      </c>
      <c r="J323" s="451"/>
      <c r="K323" s="452"/>
      <c r="L323" s="452"/>
      <c r="M323" s="451" t="s">
        <v>1859</v>
      </c>
    </row>
    <row r="324" spans="1:13" x14ac:dyDescent="0.25">
      <c r="A324" s="1" t="s">
        <v>1907</v>
      </c>
      <c r="B324" s="44" t="s">
        <v>228</v>
      </c>
      <c r="C324" s="44" t="s">
        <v>1915</v>
      </c>
      <c r="D324" s="44" t="s">
        <v>1861</v>
      </c>
      <c r="E324" s="220" t="s">
        <v>1909</v>
      </c>
      <c r="F324" s="203">
        <v>1550</v>
      </c>
      <c r="G324" s="203">
        <v>1550</v>
      </c>
      <c r="H324" s="140">
        <f t="shared" si="11"/>
        <v>2.4024999999999999</v>
      </c>
      <c r="I324" s="496">
        <f t="shared" si="12"/>
        <v>2.4024999999999999</v>
      </c>
      <c r="J324" s="451"/>
      <c r="K324" s="452"/>
      <c r="L324" s="452"/>
      <c r="M324" s="451" t="s">
        <v>1859</v>
      </c>
    </row>
    <row r="325" spans="1:13" x14ac:dyDescent="0.25">
      <c r="A325" s="1" t="s">
        <v>1907</v>
      </c>
      <c r="B325" s="44" t="s">
        <v>228</v>
      </c>
      <c r="C325" s="44" t="s">
        <v>1916</v>
      </c>
      <c r="D325" s="44" t="s">
        <v>1861</v>
      </c>
      <c r="E325" s="203" t="s">
        <v>1857</v>
      </c>
      <c r="F325" s="203">
        <v>1500</v>
      </c>
      <c r="G325" s="203">
        <v>1550</v>
      </c>
      <c r="H325" s="140">
        <f t="shared" si="11"/>
        <v>2.3249999999999997</v>
      </c>
      <c r="I325" s="453">
        <f t="shared" si="12"/>
        <v>2.3249999999999997</v>
      </c>
      <c r="J325" s="451"/>
      <c r="K325" s="452"/>
      <c r="L325" s="452"/>
      <c r="M325" s="451" t="s">
        <v>1859</v>
      </c>
    </row>
    <row r="326" spans="1:13" x14ac:dyDescent="0.25">
      <c r="A326" s="1" t="s">
        <v>1907</v>
      </c>
      <c r="B326" s="44" t="s">
        <v>228</v>
      </c>
      <c r="C326" s="44" t="s">
        <v>1915</v>
      </c>
      <c r="D326" s="44" t="s">
        <v>1861</v>
      </c>
      <c r="E326" s="220" t="s">
        <v>1909</v>
      </c>
      <c r="F326" s="203">
        <v>1550</v>
      </c>
      <c r="G326" s="203">
        <v>1550</v>
      </c>
      <c r="H326" s="140">
        <f t="shared" si="11"/>
        <v>2.4024999999999999</v>
      </c>
      <c r="I326" s="496">
        <f t="shared" si="12"/>
        <v>2.4024999999999999</v>
      </c>
      <c r="J326" s="451"/>
      <c r="K326" s="452"/>
      <c r="L326" s="452"/>
      <c r="M326" s="451" t="s">
        <v>1859</v>
      </c>
    </row>
    <row r="327" spans="1:13" x14ac:dyDescent="0.25">
      <c r="A327" s="1" t="s">
        <v>1907</v>
      </c>
      <c r="B327" s="44" t="s">
        <v>228</v>
      </c>
      <c r="C327" s="44" t="s">
        <v>1915</v>
      </c>
      <c r="D327" s="44" t="s">
        <v>1861</v>
      </c>
      <c r="E327" s="220" t="s">
        <v>1909</v>
      </c>
      <c r="F327" s="203">
        <v>1550</v>
      </c>
      <c r="G327" s="203">
        <v>1550</v>
      </c>
      <c r="H327" s="140">
        <f t="shared" si="11"/>
        <v>2.4024999999999999</v>
      </c>
      <c r="I327" s="496">
        <f t="shared" si="12"/>
        <v>2.4024999999999999</v>
      </c>
      <c r="J327" s="451"/>
      <c r="K327" s="452"/>
      <c r="L327" s="452"/>
      <c r="M327" s="451" t="s">
        <v>1859</v>
      </c>
    </row>
    <row r="328" spans="1:13" x14ac:dyDescent="0.25">
      <c r="A328" s="1" t="s">
        <v>1917</v>
      </c>
      <c r="B328" s="44" t="s">
        <v>361</v>
      </c>
      <c r="C328" s="44" t="s">
        <v>1908</v>
      </c>
      <c r="D328" s="44" t="s">
        <v>1861</v>
      </c>
      <c r="E328" s="220" t="s">
        <v>1909</v>
      </c>
      <c r="F328" s="203">
        <v>1500</v>
      </c>
      <c r="G328" s="203">
        <v>2300</v>
      </c>
      <c r="H328" s="140">
        <f t="shared" si="11"/>
        <v>3.4499999999999997</v>
      </c>
      <c r="I328" s="496">
        <f t="shared" si="12"/>
        <v>3.4499999999999997</v>
      </c>
      <c r="J328" s="451"/>
      <c r="K328" s="452"/>
      <c r="L328" s="452"/>
      <c r="M328" s="451" t="s">
        <v>1859</v>
      </c>
    </row>
    <row r="329" spans="1:13" x14ac:dyDescent="0.25">
      <c r="A329" s="1" t="s">
        <v>1917</v>
      </c>
      <c r="B329" s="44" t="s">
        <v>361</v>
      </c>
      <c r="C329" s="44" t="s">
        <v>1908</v>
      </c>
      <c r="D329" s="44" t="s">
        <v>1861</v>
      </c>
      <c r="E329" s="220" t="s">
        <v>1909</v>
      </c>
      <c r="F329" s="203">
        <v>1500</v>
      </c>
      <c r="G329" s="203">
        <v>2300</v>
      </c>
      <c r="H329" s="140">
        <f t="shared" si="11"/>
        <v>3.4499999999999997</v>
      </c>
      <c r="I329" s="496">
        <f t="shared" si="12"/>
        <v>3.4499999999999997</v>
      </c>
      <c r="J329" s="451"/>
      <c r="K329" s="452"/>
      <c r="L329" s="452"/>
      <c r="M329" s="451" t="s">
        <v>1859</v>
      </c>
    </row>
    <row r="330" spans="1:13" x14ac:dyDescent="0.25">
      <c r="A330" s="1" t="s">
        <v>1917</v>
      </c>
      <c r="B330" s="44" t="s">
        <v>361</v>
      </c>
      <c r="C330" s="44" t="s">
        <v>1908</v>
      </c>
      <c r="D330" s="44" t="s">
        <v>1861</v>
      </c>
      <c r="E330" s="220" t="s">
        <v>1909</v>
      </c>
      <c r="F330" s="203">
        <v>1500</v>
      </c>
      <c r="G330" s="203">
        <v>2300</v>
      </c>
      <c r="H330" s="140">
        <f t="shared" si="11"/>
        <v>3.4499999999999997</v>
      </c>
      <c r="I330" s="496">
        <f t="shared" si="12"/>
        <v>3.4499999999999997</v>
      </c>
      <c r="J330" s="451"/>
      <c r="K330" s="452"/>
      <c r="L330" s="452"/>
      <c r="M330" s="451" t="s">
        <v>1859</v>
      </c>
    </row>
    <row r="331" spans="1:13" x14ac:dyDescent="0.25">
      <c r="A331" s="1" t="s">
        <v>1917</v>
      </c>
      <c r="B331" s="44" t="s">
        <v>361</v>
      </c>
      <c r="C331" s="44" t="s">
        <v>1918</v>
      </c>
      <c r="D331" s="44" t="s">
        <v>1861</v>
      </c>
      <c r="E331" s="220" t="s">
        <v>1909</v>
      </c>
      <c r="F331" s="203">
        <v>2720</v>
      </c>
      <c r="G331" s="203">
        <v>3100</v>
      </c>
      <c r="H331" s="140">
        <f t="shared" si="11"/>
        <v>8.4320000000000004</v>
      </c>
      <c r="I331" s="453" t="s">
        <v>1858</v>
      </c>
      <c r="J331" s="451"/>
      <c r="K331" s="452"/>
      <c r="L331" s="452"/>
      <c r="M331" s="451" t="s">
        <v>1859</v>
      </c>
    </row>
    <row r="332" spans="1:13" x14ac:dyDescent="0.25">
      <c r="A332" s="1" t="s">
        <v>1917</v>
      </c>
      <c r="B332" s="44" t="s">
        <v>361</v>
      </c>
      <c r="C332" s="44" t="s">
        <v>1919</v>
      </c>
      <c r="D332" s="44" t="s">
        <v>1856</v>
      </c>
      <c r="E332" s="220" t="s">
        <v>1909</v>
      </c>
      <c r="F332" s="203">
        <v>38040</v>
      </c>
      <c r="G332" s="203">
        <v>3100</v>
      </c>
      <c r="H332" s="140">
        <f t="shared" si="11"/>
        <v>117.92399999999999</v>
      </c>
      <c r="I332" s="453" t="s">
        <v>1858</v>
      </c>
      <c r="J332" s="451"/>
      <c r="K332" s="452"/>
      <c r="L332" s="452"/>
      <c r="M332" s="451" t="s">
        <v>1859</v>
      </c>
    </row>
    <row r="333" spans="1:13" x14ac:dyDescent="0.25">
      <c r="A333" s="1" t="s">
        <v>1917</v>
      </c>
      <c r="B333" s="44" t="s">
        <v>361</v>
      </c>
      <c r="C333" s="44" t="s">
        <v>1920</v>
      </c>
      <c r="D333" s="44" t="s">
        <v>1866</v>
      </c>
      <c r="E333" s="220" t="s">
        <v>1909</v>
      </c>
      <c r="F333" s="203">
        <v>18200</v>
      </c>
      <c r="G333" s="203">
        <v>3100</v>
      </c>
      <c r="H333" s="140">
        <f t="shared" si="11"/>
        <v>56.419999999999995</v>
      </c>
      <c r="I333" s="453" t="s">
        <v>1858</v>
      </c>
      <c r="J333" s="451"/>
      <c r="K333" s="452"/>
      <c r="L333" s="452"/>
      <c r="M333" s="451" t="s">
        <v>1859</v>
      </c>
    </row>
    <row r="334" spans="1:13" x14ac:dyDescent="0.25">
      <c r="A334" s="1" t="s">
        <v>1917</v>
      </c>
      <c r="B334" s="44" t="s">
        <v>361</v>
      </c>
      <c r="C334" s="44" t="s">
        <v>1921</v>
      </c>
      <c r="D334" s="44" t="s">
        <v>1866</v>
      </c>
      <c r="E334" s="220" t="s">
        <v>1909</v>
      </c>
      <c r="F334" s="203">
        <v>17640</v>
      </c>
      <c r="G334" s="203">
        <v>5050</v>
      </c>
      <c r="H334" s="140">
        <f t="shared" si="11"/>
        <v>89.081999999999994</v>
      </c>
      <c r="I334" s="453" t="s">
        <v>1858</v>
      </c>
      <c r="J334" s="451"/>
      <c r="K334" s="452"/>
      <c r="L334" s="452"/>
      <c r="M334" s="451" t="s">
        <v>1859</v>
      </c>
    </row>
    <row r="335" spans="1:13" x14ac:dyDescent="0.25">
      <c r="A335" s="1" t="s">
        <v>1917</v>
      </c>
      <c r="B335" s="44" t="s">
        <v>278</v>
      </c>
      <c r="C335" s="44" t="s">
        <v>1922</v>
      </c>
      <c r="D335" s="44" t="s">
        <v>1866</v>
      </c>
      <c r="E335" s="220" t="s">
        <v>1909</v>
      </c>
      <c r="F335" s="203">
        <v>19520</v>
      </c>
      <c r="G335" s="203">
        <v>3100</v>
      </c>
      <c r="H335" s="140">
        <f t="shared" si="11"/>
        <v>60.512</v>
      </c>
      <c r="I335" s="453" t="s">
        <v>1858</v>
      </c>
      <c r="J335" s="451"/>
      <c r="K335" s="452"/>
      <c r="L335" s="452"/>
      <c r="M335" s="451" t="s">
        <v>1859</v>
      </c>
    </row>
    <row r="336" spans="1:13" x14ac:dyDescent="0.25">
      <c r="A336" s="1" t="s">
        <v>1917</v>
      </c>
      <c r="B336" s="44" t="s">
        <v>278</v>
      </c>
      <c r="C336" s="44" t="s">
        <v>1863</v>
      </c>
      <c r="D336" s="44" t="s">
        <v>1861</v>
      </c>
      <c r="E336" s="203" t="s">
        <v>1857</v>
      </c>
      <c r="F336" s="203">
        <v>1500</v>
      </c>
      <c r="G336" s="203">
        <v>2300</v>
      </c>
      <c r="H336" s="140">
        <f t="shared" si="11"/>
        <v>3.4499999999999997</v>
      </c>
      <c r="I336" s="453">
        <f>H336</f>
        <v>3.4499999999999997</v>
      </c>
      <c r="J336" s="451"/>
      <c r="K336" s="452"/>
      <c r="L336" s="452"/>
      <c r="M336" s="451" t="s">
        <v>1859</v>
      </c>
    </row>
    <row r="337" spans="1:13" x14ac:dyDescent="0.25">
      <c r="A337" s="1" t="s">
        <v>1917</v>
      </c>
      <c r="B337" s="44" t="s">
        <v>278</v>
      </c>
      <c r="C337" s="44" t="s">
        <v>1863</v>
      </c>
      <c r="D337" s="44" t="s">
        <v>1861</v>
      </c>
      <c r="E337" s="203" t="s">
        <v>1857</v>
      </c>
      <c r="F337" s="203">
        <v>1500</v>
      </c>
      <c r="G337" s="203">
        <v>2300</v>
      </c>
      <c r="H337" s="140">
        <f t="shared" si="11"/>
        <v>3.4499999999999997</v>
      </c>
      <c r="I337" s="453">
        <f t="shared" ref="I337:I341" si="13">H337</f>
        <v>3.4499999999999997</v>
      </c>
      <c r="J337" s="451"/>
      <c r="K337" s="452"/>
      <c r="L337" s="452"/>
      <c r="M337" s="451" t="s">
        <v>1859</v>
      </c>
    </row>
    <row r="338" spans="1:13" x14ac:dyDescent="0.25">
      <c r="A338" s="1" t="s">
        <v>1917</v>
      </c>
      <c r="B338" s="44" t="s">
        <v>278</v>
      </c>
      <c r="C338" s="44" t="s">
        <v>1863</v>
      </c>
      <c r="D338" s="44" t="s">
        <v>1861</v>
      </c>
      <c r="E338" s="203" t="s">
        <v>1857</v>
      </c>
      <c r="F338" s="203">
        <v>1500</v>
      </c>
      <c r="G338" s="203">
        <v>2300</v>
      </c>
      <c r="H338" s="140">
        <f t="shared" si="11"/>
        <v>3.4499999999999997</v>
      </c>
      <c r="I338" s="453">
        <f t="shared" si="13"/>
        <v>3.4499999999999997</v>
      </c>
      <c r="J338" s="451"/>
      <c r="K338" s="452"/>
      <c r="L338" s="452"/>
      <c r="M338" s="451" t="s">
        <v>1859</v>
      </c>
    </row>
    <row r="339" spans="1:13" x14ac:dyDescent="0.25">
      <c r="A339" s="1" t="s">
        <v>1917</v>
      </c>
      <c r="B339" s="44" t="s">
        <v>278</v>
      </c>
      <c r="C339" s="44" t="s">
        <v>1863</v>
      </c>
      <c r="D339" s="44" t="s">
        <v>1861</v>
      </c>
      <c r="E339" s="203" t="s">
        <v>1857</v>
      </c>
      <c r="F339" s="203">
        <v>1500</v>
      </c>
      <c r="G339" s="203">
        <v>2300</v>
      </c>
      <c r="H339" s="140">
        <f t="shared" si="11"/>
        <v>3.4499999999999997</v>
      </c>
      <c r="I339" s="453">
        <f t="shared" si="13"/>
        <v>3.4499999999999997</v>
      </c>
      <c r="J339" s="451"/>
      <c r="K339" s="452"/>
      <c r="L339" s="452"/>
      <c r="M339" s="451" t="s">
        <v>1859</v>
      </c>
    </row>
    <row r="340" spans="1:13" x14ac:dyDescent="0.25">
      <c r="A340" s="1" t="s">
        <v>1917</v>
      </c>
      <c r="B340" s="44" t="s">
        <v>278</v>
      </c>
      <c r="C340" s="44" t="s">
        <v>1863</v>
      </c>
      <c r="D340" s="44" t="s">
        <v>1861</v>
      </c>
      <c r="E340" s="203" t="s">
        <v>1857</v>
      </c>
      <c r="F340" s="203">
        <v>1500</v>
      </c>
      <c r="G340" s="203">
        <v>2300</v>
      </c>
      <c r="H340" s="140">
        <f t="shared" si="11"/>
        <v>3.4499999999999997</v>
      </c>
      <c r="I340" s="453">
        <f t="shared" si="13"/>
        <v>3.4499999999999997</v>
      </c>
      <c r="J340" s="451"/>
      <c r="K340" s="452"/>
      <c r="L340" s="452"/>
      <c r="M340" s="451" t="s">
        <v>1859</v>
      </c>
    </row>
    <row r="341" spans="1:13" x14ac:dyDescent="0.25">
      <c r="A341" s="1" t="s">
        <v>1917</v>
      </c>
      <c r="B341" s="44" t="s">
        <v>278</v>
      </c>
      <c r="C341" s="44" t="s">
        <v>1863</v>
      </c>
      <c r="D341" s="44" t="s">
        <v>1861</v>
      </c>
      <c r="E341" s="203" t="s">
        <v>1857</v>
      </c>
      <c r="F341" s="203">
        <v>1500</v>
      </c>
      <c r="G341" s="203">
        <v>2300</v>
      </c>
      <c r="H341" s="140">
        <f t="shared" si="11"/>
        <v>3.4499999999999997</v>
      </c>
      <c r="I341" s="453">
        <f t="shared" si="13"/>
        <v>3.4499999999999997</v>
      </c>
      <c r="J341" s="451"/>
      <c r="K341" s="452"/>
      <c r="L341" s="452"/>
      <c r="M341" s="451" t="s">
        <v>1859</v>
      </c>
    </row>
    <row r="342" spans="1:13" x14ac:dyDescent="0.25">
      <c r="A342" s="1" t="s">
        <v>1917</v>
      </c>
      <c r="B342" s="44" t="s">
        <v>228</v>
      </c>
      <c r="C342" s="44" t="s">
        <v>1921</v>
      </c>
      <c r="D342" s="44" t="s">
        <v>1866</v>
      </c>
      <c r="E342" s="220" t="s">
        <v>1909</v>
      </c>
      <c r="F342" s="203">
        <v>17640</v>
      </c>
      <c r="G342" s="203">
        <v>5050</v>
      </c>
      <c r="H342" s="140">
        <f t="shared" si="11"/>
        <v>89.081999999999994</v>
      </c>
      <c r="I342" s="453" t="s">
        <v>1858</v>
      </c>
      <c r="J342" s="451"/>
      <c r="K342" s="452"/>
      <c r="L342" s="452"/>
      <c r="M342" s="451" t="s">
        <v>1859</v>
      </c>
    </row>
    <row r="343" spans="1:13" x14ac:dyDescent="0.25">
      <c r="A343" s="1" t="s">
        <v>1917</v>
      </c>
      <c r="B343" s="44" t="s">
        <v>228</v>
      </c>
      <c r="C343" s="44" t="s">
        <v>1920</v>
      </c>
      <c r="D343" s="44" t="s">
        <v>1866</v>
      </c>
      <c r="E343" s="220" t="s">
        <v>1909</v>
      </c>
      <c r="F343" s="203">
        <v>18200</v>
      </c>
      <c r="G343" s="203">
        <v>3100</v>
      </c>
      <c r="H343" s="140">
        <f t="shared" si="11"/>
        <v>56.419999999999995</v>
      </c>
      <c r="I343" s="453" t="s">
        <v>1858</v>
      </c>
      <c r="J343" s="451"/>
      <c r="K343" s="452"/>
      <c r="L343" s="452"/>
      <c r="M343" s="451" t="s">
        <v>1859</v>
      </c>
    </row>
    <row r="344" spans="1:13" x14ac:dyDescent="0.25">
      <c r="A344" s="1" t="s">
        <v>1917</v>
      </c>
      <c r="B344" s="44" t="s">
        <v>228</v>
      </c>
      <c r="C344" s="44" t="s">
        <v>1919</v>
      </c>
      <c r="D344" s="44" t="s">
        <v>1869</v>
      </c>
      <c r="E344" s="220" t="s">
        <v>1909</v>
      </c>
      <c r="F344" s="203">
        <v>38040</v>
      </c>
      <c r="G344" s="203">
        <v>3100</v>
      </c>
      <c r="H344" s="140">
        <f t="shared" si="11"/>
        <v>117.92399999999999</v>
      </c>
      <c r="I344" s="453" t="s">
        <v>1858</v>
      </c>
      <c r="J344" s="451"/>
      <c r="K344" s="452"/>
      <c r="L344" s="452"/>
      <c r="M344" s="451" t="s">
        <v>1859</v>
      </c>
    </row>
    <row r="345" spans="1:13" x14ac:dyDescent="0.25">
      <c r="A345" s="1" t="s">
        <v>1917</v>
      </c>
      <c r="B345" s="44" t="s">
        <v>228</v>
      </c>
      <c r="C345" s="44" t="s">
        <v>1918</v>
      </c>
      <c r="D345" s="44" t="s">
        <v>1861</v>
      </c>
      <c r="E345" s="220" t="s">
        <v>1909</v>
      </c>
      <c r="F345" s="203">
        <v>2720</v>
      </c>
      <c r="G345" s="203">
        <v>3100</v>
      </c>
      <c r="H345" s="140">
        <f t="shared" si="11"/>
        <v>8.4320000000000004</v>
      </c>
      <c r="I345" s="453" t="s">
        <v>1858</v>
      </c>
      <c r="J345" s="451"/>
      <c r="K345" s="452"/>
      <c r="L345" s="452"/>
      <c r="M345" s="451" t="s">
        <v>1859</v>
      </c>
    </row>
    <row r="346" spans="1:13" x14ac:dyDescent="0.25">
      <c r="A346" s="1" t="s">
        <v>1917</v>
      </c>
      <c r="B346" s="44" t="s">
        <v>228</v>
      </c>
      <c r="C346" s="44" t="s">
        <v>1908</v>
      </c>
      <c r="D346" s="44" t="s">
        <v>1861</v>
      </c>
      <c r="E346" s="220" t="s">
        <v>1909</v>
      </c>
      <c r="F346" s="203">
        <v>1500</v>
      </c>
      <c r="G346" s="203">
        <v>2300</v>
      </c>
      <c r="H346" s="140">
        <f t="shared" si="11"/>
        <v>3.4499999999999997</v>
      </c>
      <c r="I346" s="496">
        <f t="shared" ref="I346:I363" si="14">H346</f>
        <v>3.4499999999999997</v>
      </c>
      <c r="J346" s="451"/>
      <c r="K346" s="452"/>
      <c r="L346" s="452"/>
      <c r="M346" s="451" t="s">
        <v>1859</v>
      </c>
    </row>
    <row r="347" spans="1:13" x14ac:dyDescent="0.25">
      <c r="A347" s="1" t="s">
        <v>1917</v>
      </c>
      <c r="B347" s="44" t="s">
        <v>228</v>
      </c>
      <c r="C347" s="44" t="s">
        <v>1908</v>
      </c>
      <c r="D347" s="44" t="s">
        <v>1861</v>
      </c>
      <c r="E347" s="220" t="s">
        <v>1909</v>
      </c>
      <c r="F347" s="203">
        <v>1500</v>
      </c>
      <c r="G347" s="203">
        <v>2300</v>
      </c>
      <c r="H347" s="140">
        <f t="shared" si="11"/>
        <v>3.4499999999999997</v>
      </c>
      <c r="I347" s="496">
        <f t="shared" si="14"/>
        <v>3.4499999999999997</v>
      </c>
      <c r="J347" s="451"/>
      <c r="K347" s="452"/>
      <c r="L347" s="452"/>
      <c r="M347" s="451" t="s">
        <v>1859</v>
      </c>
    </row>
    <row r="348" spans="1:13" x14ac:dyDescent="0.25">
      <c r="A348" s="1" t="s">
        <v>1917</v>
      </c>
      <c r="B348" s="44" t="s">
        <v>228</v>
      </c>
      <c r="C348" s="44" t="s">
        <v>1908</v>
      </c>
      <c r="D348" s="44" t="s">
        <v>1861</v>
      </c>
      <c r="E348" s="220" t="s">
        <v>1909</v>
      </c>
      <c r="F348" s="203">
        <v>1500</v>
      </c>
      <c r="G348" s="203">
        <v>2300</v>
      </c>
      <c r="H348" s="140">
        <f t="shared" si="11"/>
        <v>3.4499999999999997</v>
      </c>
      <c r="I348" s="496">
        <f t="shared" si="14"/>
        <v>3.4499999999999997</v>
      </c>
      <c r="J348" s="451"/>
      <c r="K348" s="452"/>
      <c r="L348" s="452"/>
      <c r="M348" s="451" t="s">
        <v>1859</v>
      </c>
    </row>
    <row r="349" spans="1:13" x14ac:dyDescent="0.25">
      <c r="A349" s="1" t="s">
        <v>1917</v>
      </c>
      <c r="B349" s="44" t="s">
        <v>228</v>
      </c>
      <c r="C349" s="44" t="s">
        <v>1923</v>
      </c>
      <c r="D349" s="44" t="s">
        <v>1856</v>
      </c>
      <c r="E349" s="220" t="s">
        <v>1909</v>
      </c>
      <c r="F349" s="203">
        <v>1500</v>
      </c>
      <c r="G349" s="203">
        <v>2300</v>
      </c>
      <c r="H349" s="140">
        <f t="shared" si="11"/>
        <v>3.4499999999999997</v>
      </c>
      <c r="I349" s="496">
        <f t="shared" si="14"/>
        <v>3.4499999999999997</v>
      </c>
      <c r="J349" s="451"/>
      <c r="K349" s="452"/>
      <c r="L349" s="452"/>
      <c r="M349" s="451" t="s">
        <v>1859</v>
      </c>
    </row>
    <row r="350" spans="1:13" x14ac:dyDescent="0.25">
      <c r="A350" s="1" t="s">
        <v>1917</v>
      </c>
      <c r="B350" s="44" t="s">
        <v>228</v>
      </c>
      <c r="C350" s="44" t="s">
        <v>1924</v>
      </c>
      <c r="D350" s="44" t="s">
        <v>1856</v>
      </c>
      <c r="E350" s="220" t="s">
        <v>1909</v>
      </c>
      <c r="F350" s="203">
        <v>750</v>
      </c>
      <c r="G350" s="203">
        <v>2300</v>
      </c>
      <c r="H350" s="140">
        <f t="shared" si="11"/>
        <v>1.7249999999999999</v>
      </c>
      <c r="I350" s="496">
        <f t="shared" si="14"/>
        <v>1.7249999999999999</v>
      </c>
      <c r="J350" s="451"/>
      <c r="K350" s="452"/>
      <c r="L350" s="452"/>
      <c r="M350" s="451" t="s">
        <v>1859</v>
      </c>
    </row>
    <row r="351" spans="1:13" x14ac:dyDescent="0.25">
      <c r="A351" s="1" t="s">
        <v>1917</v>
      </c>
      <c r="B351" s="44" t="s">
        <v>228</v>
      </c>
      <c r="C351" s="44" t="s">
        <v>1924</v>
      </c>
      <c r="D351" s="44" t="s">
        <v>1856</v>
      </c>
      <c r="E351" s="220" t="s">
        <v>1909</v>
      </c>
      <c r="F351" s="203">
        <v>750</v>
      </c>
      <c r="G351" s="203">
        <v>2300</v>
      </c>
      <c r="H351" s="140">
        <f t="shared" si="11"/>
        <v>1.7249999999999999</v>
      </c>
      <c r="I351" s="496">
        <f t="shared" si="14"/>
        <v>1.7249999999999999</v>
      </c>
      <c r="J351" s="451"/>
      <c r="K351" s="452"/>
      <c r="L351" s="452"/>
      <c r="M351" s="451" t="s">
        <v>1859</v>
      </c>
    </row>
    <row r="352" spans="1:13" x14ac:dyDescent="0.25">
      <c r="A352" s="1" t="s">
        <v>1917</v>
      </c>
      <c r="B352" s="44" t="s">
        <v>228</v>
      </c>
      <c r="C352" s="44" t="s">
        <v>1924</v>
      </c>
      <c r="D352" s="44" t="s">
        <v>1856</v>
      </c>
      <c r="E352" s="220" t="s">
        <v>1909</v>
      </c>
      <c r="F352" s="203">
        <v>750</v>
      </c>
      <c r="G352" s="203">
        <v>2300</v>
      </c>
      <c r="H352" s="140">
        <f t="shared" si="11"/>
        <v>1.7249999999999999</v>
      </c>
      <c r="I352" s="496">
        <f t="shared" si="14"/>
        <v>1.7249999999999999</v>
      </c>
      <c r="J352" s="451"/>
      <c r="K352" s="452"/>
      <c r="L352" s="452"/>
      <c r="M352" s="451" t="s">
        <v>1859</v>
      </c>
    </row>
    <row r="353" spans="1:14" x14ac:dyDescent="0.25">
      <c r="A353" s="1" t="s">
        <v>1917</v>
      </c>
      <c r="B353" s="44" t="s">
        <v>228</v>
      </c>
      <c r="C353" s="44" t="s">
        <v>1924</v>
      </c>
      <c r="D353" s="44" t="s">
        <v>1856</v>
      </c>
      <c r="E353" s="220" t="s">
        <v>1909</v>
      </c>
      <c r="F353" s="203">
        <v>750</v>
      </c>
      <c r="G353" s="203">
        <v>2300</v>
      </c>
      <c r="H353" s="140">
        <f t="shared" si="11"/>
        <v>1.7249999999999999</v>
      </c>
      <c r="I353" s="496">
        <f t="shared" si="14"/>
        <v>1.7249999999999999</v>
      </c>
      <c r="J353" s="451"/>
      <c r="K353" s="452"/>
      <c r="L353" s="452"/>
      <c r="M353" s="451" t="s">
        <v>1859</v>
      </c>
    </row>
    <row r="354" spans="1:14" x14ac:dyDescent="0.25">
      <c r="A354" s="1" t="s">
        <v>1917</v>
      </c>
      <c r="B354" s="44" t="s">
        <v>228</v>
      </c>
      <c r="C354" s="44" t="s">
        <v>1923</v>
      </c>
      <c r="D354" s="44" t="s">
        <v>1856</v>
      </c>
      <c r="E354" s="220" t="s">
        <v>1909</v>
      </c>
      <c r="F354" s="203">
        <v>1500</v>
      </c>
      <c r="G354" s="203">
        <v>2300</v>
      </c>
      <c r="H354" s="140">
        <f t="shared" si="11"/>
        <v>3.4499999999999997</v>
      </c>
      <c r="I354" s="496">
        <f t="shared" si="14"/>
        <v>3.4499999999999997</v>
      </c>
      <c r="J354" s="451"/>
      <c r="K354" s="452"/>
      <c r="L354" s="452"/>
      <c r="M354" s="451" t="s">
        <v>1859</v>
      </c>
    </row>
    <row r="355" spans="1:14" x14ac:dyDescent="0.25">
      <c r="A355" s="1" t="s">
        <v>1917</v>
      </c>
      <c r="B355" s="44" t="s">
        <v>228</v>
      </c>
      <c r="C355" s="44" t="s">
        <v>1924</v>
      </c>
      <c r="D355" s="44" t="s">
        <v>1856</v>
      </c>
      <c r="E355" s="220" t="s">
        <v>1909</v>
      </c>
      <c r="F355" s="203">
        <v>750</v>
      </c>
      <c r="G355" s="203">
        <v>2300</v>
      </c>
      <c r="H355" s="140">
        <f t="shared" si="11"/>
        <v>1.7249999999999999</v>
      </c>
      <c r="I355" s="496">
        <f t="shared" si="14"/>
        <v>1.7249999999999999</v>
      </c>
      <c r="J355" s="451"/>
      <c r="K355" s="452"/>
      <c r="L355" s="452"/>
      <c r="M355" s="451" t="s">
        <v>1859</v>
      </c>
    </row>
    <row r="356" spans="1:14" x14ac:dyDescent="0.25">
      <c r="A356" s="1" t="s">
        <v>1917</v>
      </c>
      <c r="B356" s="44" t="s">
        <v>228</v>
      </c>
      <c r="C356" s="44" t="s">
        <v>1924</v>
      </c>
      <c r="D356" s="44" t="s">
        <v>1856</v>
      </c>
      <c r="E356" s="220" t="s">
        <v>1909</v>
      </c>
      <c r="F356" s="203">
        <v>750</v>
      </c>
      <c r="G356" s="203">
        <v>2300</v>
      </c>
      <c r="H356" s="140">
        <f t="shared" si="11"/>
        <v>1.7249999999999999</v>
      </c>
      <c r="I356" s="496">
        <f t="shared" si="14"/>
        <v>1.7249999999999999</v>
      </c>
      <c r="J356" s="451"/>
      <c r="K356" s="452"/>
      <c r="L356" s="452"/>
      <c r="M356" s="451" t="s">
        <v>1859</v>
      </c>
    </row>
    <row r="357" spans="1:14" x14ac:dyDescent="0.25">
      <c r="A357" s="1" t="s">
        <v>1917</v>
      </c>
      <c r="B357" s="44" t="s">
        <v>228</v>
      </c>
      <c r="C357" s="44" t="s">
        <v>1924</v>
      </c>
      <c r="D357" s="44" t="s">
        <v>1856</v>
      </c>
      <c r="E357" s="220" t="s">
        <v>1909</v>
      </c>
      <c r="F357" s="203">
        <v>750</v>
      </c>
      <c r="G357" s="203">
        <v>2300</v>
      </c>
      <c r="H357" s="140">
        <f t="shared" si="11"/>
        <v>1.7249999999999999</v>
      </c>
      <c r="I357" s="496">
        <f t="shared" si="14"/>
        <v>1.7249999999999999</v>
      </c>
      <c r="J357" s="451"/>
      <c r="K357" s="452"/>
      <c r="L357" s="452"/>
      <c r="M357" s="451" t="s">
        <v>1859</v>
      </c>
    </row>
    <row r="358" spans="1:14" x14ac:dyDescent="0.25">
      <c r="A358" s="1" t="s">
        <v>1917</v>
      </c>
      <c r="B358" s="44" t="s">
        <v>228</v>
      </c>
      <c r="C358" s="44" t="s">
        <v>1924</v>
      </c>
      <c r="D358" s="44" t="s">
        <v>1856</v>
      </c>
      <c r="E358" s="220" t="s">
        <v>1909</v>
      </c>
      <c r="F358" s="203">
        <v>750</v>
      </c>
      <c r="G358" s="203">
        <v>2300</v>
      </c>
      <c r="H358" s="140">
        <f t="shared" si="11"/>
        <v>1.7249999999999999</v>
      </c>
      <c r="I358" s="496">
        <f t="shared" si="14"/>
        <v>1.7249999999999999</v>
      </c>
      <c r="J358" s="451"/>
      <c r="K358" s="452"/>
      <c r="L358" s="452"/>
      <c r="M358" s="451" t="s">
        <v>1859</v>
      </c>
    </row>
    <row r="359" spans="1:14" x14ac:dyDescent="0.25">
      <c r="A359" s="1" t="s">
        <v>1917</v>
      </c>
      <c r="B359" s="44" t="s">
        <v>228</v>
      </c>
      <c r="C359" s="44" t="s">
        <v>1925</v>
      </c>
      <c r="D359" s="44" t="s">
        <v>1861</v>
      </c>
      <c r="E359" s="220" t="s">
        <v>1909</v>
      </c>
      <c r="F359" s="203">
        <v>1550</v>
      </c>
      <c r="G359" s="203">
        <v>1550</v>
      </c>
      <c r="H359" s="140">
        <f t="shared" si="11"/>
        <v>2.4024999999999999</v>
      </c>
      <c r="I359" s="496">
        <f t="shared" si="14"/>
        <v>2.4024999999999999</v>
      </c>
      <c r="J359" s="451"/>
      <c r="K359" s="452"/>
      <c r="L359" s="452"/>
      <c r="M359" s="451" t="s">
        <v>1859</v>
      </c>
    </row>
    <row r="360" spans="1:14" x14ac:dyDescent="0.25">
      <c r="A360" s="1" t="s">
        <v>1917</v>
      </c>
      <c r="B360" s="44" t="s">
        <v>228</v>
      </c>
      <c r="C360" s="44" t="s">
        <v>1899</v>
      </c>
      <c r="D360" s="44" t="s">
        <v>1861</v>
      </c>
      <c r="E360" s="203" t="s">
        <v>1857</v>
      </c>
      <c r="F360" s="203">
        <v>1550</v>
      </c>
      <c r="G360" s="203">
        <v>1550</v>
      </c>
      <c r="H360" s="140">
        <f t="shared" si="11"/>
        <v>2.4024999999999999</v>
      </c>
      <c r="I360" s="453">
        <f t="shared" si="14"/>
        <v>2.4024999999999999</v>
      </c>
      <c r="J360" s="451"/>
      <c r="K360" s="452"/>
      <c r="L360" s="452"/>
      <c r="M360" s="451" t="s">
        <v>1859</v>
      </c>
    </row>
    <row r="361" spans="1:14" x14ac:dyDescent="0.25">
      <c r="A361" s="1" t="s">
        <v>1917</v>
      </c>
      <c r="B361" s="44" t="s">
        <v>228</v>
      </c>
      <c r="C361" s="44" t="s">
        <v>1900</v>
      </c>
      <c r="D361" s="44" t="s">
        <v>1861</v>
      </c>
      <c r="E361" s="203" t="s">
        <v>1857</v>
      </c>
      <c r="F361" s="203">
        <v>1500</v>
      </c>
      <c r="G361" s="203">
        <v>1550</v>
      </c>
      <c r="H361" s="140">
        <f t="shared" si="11"/>
        <v>2.3249999999999997</v>
      </c>
      <c r="I361" s="453">
        <f t="shared" si="14"/>
        <v>2.3249999999999997</v>
      </c>
      <c r="J361" s="451"/>
      <c r="K361" s="452"/>
      <c r="L361" s="452"/>
      <c r="M361" s="451" t="s">
        <v>1859</v>
      </c>
    </row>
    <row r="362" spans="1:14" x14ac:dyDescent="0.25">
      <c r="A362" s="1" t="s">
        <v>1917</v>
      </c>
      <c r="B362" s="44" t="s">
        <v>228</v>
      </c>
      <c r="C362" s="44" t="s">
        <v>1899</v>
      </c>
      <c r="D362" s="44" t="s">
        <v>1861</v>
      </c>
      <c r="E362" s="203" t="s">
        <v>1857</v>
      </c>
      <c r="F362" s="203">
        <v>1550</v>
      </c>
      <c r="G362" s="203">
        <v>1550</v>
      </c>
      <c r="H362" s="140">
        <f t="shared" si="11"/>
        <v>2.4024999999999999</v>
      </c>
      <c r="I362" s="453">
        <f t="shared" si="14"/>
        <v>2.4024999999999999</v>
      </c>
      <c r="J362" s="451"/>
      <c r="K362" s="452"/>
      <c r="L362" s="452"/>
      <c r="M362" s="451" t="s">
        <v>1859</v>
      </c>
    </row>
    <row r="363" spans="1:14" x14ac:dyDescent="0.25">
      <c r="A363" s="1" t="s">
        <v>1917</v>
      </c>
      <c r="B363" s="44" t="s">
        <v>228</v>
      </c>
      <c r="C363" s="44" t="s">
        <v>1899</v>
      </c>
      <c r="D363" s="44" t="s">
        <v>1861</v>
      </c>
      <c r="E363" s="203" t="s">
        <v>1857</v>
      </c>
      <c r="F363" s="203">
        <v>1550</v>
      </c>
      <c r="G363" s="203">
        <v>1550</v>
      </c>
      <c r="H363" s="140">
        <f t="shared" si="11"/>
        <v>2.4024999999999999</v>
      </c>
      <c r="I363" s="453">
        <f t="shared" si="14"/>
        <v>2.4024999999999999</v>
      </c>
      <c r="J363" s="451"/>
      <c r="K363" s="452"/>
      <c r="L363" s="452"/>
      <c r="M363" s="451" t="s">
        <v>1859</v>
      </c>
    </row>
    <row r="364" spans="1:14" x14ac:dyDescent="0.25">
      <c r="A364" s="1" t="s">
        <v>1926</v>
      </c>
      <c r="B364" s="44" t="s">
        <v>278</v>
      </c>
      <c r="C364" s="44" t="s">
        <v>1927</v>
      </c>
      <c r="D364" s="44" t="s">
        <v>1866</v>
      </c>
      <c r="E364" s="203" t="s">
        <v>1857</v>
      </c>
      <c r="F364" s="203">
        <v>1000</v>
      </c>
      <c r="G364" s="203">
        <v>1500</v>
      </c>
      <c r="H364" s="140">
        <f t="shared" si="11"/>
        <v>1.5</v>
      </c>
      <c r="I364" s="453" t="s">
        <v>1858</v>
      </c>
      <c r="J364" s="451"/>
      <c r="K364" s="452"/>
      <c r="L364" s="452"/>
      <c r="M364" s="451" t="s">
        <v>1859</v>
      </c>
    </row>
    <row r="365" spans="1:14" ht="15.75" thickBot="1" x14ac:dyDescent="0.3">
      <c r="A365" s="2" t="s">
        <v>1928</v>
      </c>
      <c r="B365" s="567" t="s">
        <v>278</v>
      </c>
      <c r="C365" s="2" t="s">
        <v>1929</v>
      </c>
      <c r="D365" s="2" t="s">
        <v>1869</v>
      </c>
      <c r="E365" s="568" t="s">
        <v>1857</v>
      </c>
      <c r="F365" s="569">
        <v>1800</v>
      </c>
      <c r="G365" s="569">
        <v>2400</v>
      </c>
      <c r="H365" s="453">
        <f t="shared" si="11"/>
        <v>4.3199999999999994</v>
      </c>
      <c r="I365" s="568" t="s">
        <v>1858</v>
      </c>
      <c r="J365" s="457"/>
      <c r="K365" s="454"/>
      <c r="L365" s="454"/>
      <c r="M365" s="265" t="s">
        <v>1859</v>
      </c>
    </row>
    <row r="366" spans="1:14" ht="15.75" thickTop="1" x14ac:dyDescent="0.25">
      <c r="A366" s="710" t="s">
        <v>2100</v>
      </c>
      <c r="B366" s="711"/>
      <c r="C366" s="711"/>
      <c r="D366" s="712"/>
      <c r="E366" s="181" t="s">
        <v>1909</v>
      </c>
      <c r="F366" s="271"/>
      <c r="G366" s="271"/>
      <c r="H366" s="141">
        <v>1073</v>
      </c>
      <c r="I366" s="570" t="s">
        <v>1858</v>
      </c>
      <c r="J366" s="566"/>
      <c r="K366" s="221"/>
      <c r="L366" s="221"/>
      <c r="M366" s="265" t="s">
        <v>1859</v>
      </c>
    </row>
    <row r="367" spans="1:14" ht="30" x14ac:dyDescent="0.25">
      <c r="A367" s="713"/>
      <c r="B367" s="714"/>
      <c r="C367" s="714"/>
      <c r="D367" s="715"/>
      <c r="E367" s="571" t="s">
        <v>2101</v>
      </c>
      <c r="F367" s="271"/>
      <c r="G367" s="271"/>
      <c r="H367" s="141">
        <v>38.4</v>
      </c>
      <c r="I367" s="570" t="s">
        <v>1858</v>
      </c>
      <c r="J367" s="566"/>
      <c r="K367" s="221"/>
      <c r="L367" s="221"/>
      <c r="M367" s="265" t="s">
        <v>1859</v>
      </c>
    </row>
    <row r="368" spans="1:14" s="284" customFormat="1" x14ac:dyDescent="0.25">
      <c r="A368" s="460"/>
      <c r="B368" s="460"/>
      <c r="C368" s="460"/>
      <c r="D368" s="459" t="s">
        <v>274</v>
      </c>
      <c r="E368" s="281"/>
      <c r="F368" s="281"/>
      <c r="G368" s="281"/>
      <c r="H368" s="498">
        <f>SUM(H2:H367)</f>
        <v>3366.4689999999982</v>
      </c>
      <c r="I368" s="502">
        <f>SUM(I2:I365)</f>
        <v>406.4124999999994</v>
      </c>
      <c r="J368" s="501"/>
      <c r="K368" s="461"/>
      <c r="L368" s="461"/>
      <c r="M368" s="461"/>
      <c r="N368" s="282"/>
    </row>
    <row r="369" spans="1:14" s="284" customFormat="1" x14ac:dyDescent="0.25">
      <c r="A369" s="460"/>
      <c r="B369" s="460"/>
      <c r="C369" s="460"/>
      <c r="D369" s="459"/>
      <c r="E369" s="281"/>
      <c r="F369" s="281"/>
      <c r="G369" s="281"/>
      <c r="H369" s="498"/>
      <c r="I369" s="502"/>
      <c r="J369" s="461"/>
      <c r="K369" s="461"/>
      <c r="L369" s="461"/>
      <c r="M369" s="461"/>
      <c r="N369" s="282"/>
    </row>
    <row r="370" spans="1:14" x14ac:dyDescent="0.25">
      <c r="A370" s="14"/>
      <c r="B370" s="14"/>
      <c r="C370" s="14"/>
      <c r="D370" s="462" t="s">
        <v>1932</v>
      </c>
      <c r="E370" s="280" t="s">
        <v>1934</v>
      </c>
      <c r="F370" s="281"/>
      <c r="G370" s="281"/>
      <c r="H370" s="499">
        <f>H368-H371</f>
        <v>1522.6684999999982</v>
      </c>
      <c r="I370" s="500">
        <f>I368-I371</f>
        <v>322.63999999999942</v>
      </c>
      <c r="J370" s="221"/>
      <c r="K370" s="221"/>
      <c r="L370" s="221"/>
      <c r="M370" s="497"/>
      <c r="N370" s="107"/>
    </row>
    <row r="371" spans="1:14" x14ac:dyDescent="0.25">
      <c r="E371" s="280" t="s">
        <v>1933</v>
      </c>
      <c r="F371" s="281"/>
      <c r="G371" s="281"/>
      <c r="H371" s="499">
        <f>SUM(H242:H247)+SUM(H251:H253)+SUM(H255:H262)+SUM(H296:H308)+SUM(H323:H324)+SUM(H326:H335)+SUM(H342:H359)+H366</f>
        <v>1843.8005000000001</v>
      </c>
      <c r="I371" s="500">
        <f>SUM(I242:I247)+I251+I252+I323+I324+SUM(I326:I330)+SUM(I346:I359)</f>
        <v>83.772500000000008</v>
      </c>
      <c r="J371" s="221"/>
      <c r="K371" s="221"/>
      <c r="L371" s="221"/>
      <c r="M371" s="221"/>
      <c r="N371" s="107"/>
    </row>
    <row r="372" spans="1:14" x14ac:dyDescent="0.25">
      <c r="J372" s="221"/>
      <c r="K372" s="221"/>
      <c r="L372" s="221"/>
      <c r="M372" s="572"/>
      <c r="N372" s="107"/>
    </row>
    <row r="373" spans="1:14" x14ac:dyDescent="0.25">
      <c r="J373" s="221"/>
      <c r="K373" s="221"/>
      <c r="L373" s="221"/>
      <c r="M373" s="221"/>
      <c r="N373" s="107"/>
    </row>
    <row r="374" spans="1:14" x14ac:dyDescent="0.25">
      <c r="J374" s="221"/>
      <c r="K374" s="221"/>
      <c r="L374" s="221"/>
      <c r="M374" s="221"/>
      <c r="N374" s="107"/>
    </row>
    <row r="375" spans="1:14" x14ac:dyDescent="0.25">
      <c r="J375" s="221"/>
      <c r="K375" s="221"/>
      <c r="L375" s="221"/>
      <c r="M375" s="221"/>
      <c r="N375" s="107"/>
    </row>
    <row r="376" spans="1:14" x14ac:dyDescent="0.25">
      <c r="J376" s="221"/>
      <c r="K376" s="221"/>
      <c r="L376" s="221"/>
      <c r="M376" s="221"/>
      <c r="N376" s="107"/>
    </row>
    <row r="377" spans="1:14" x14ac:dyDescent="0.25">
      <c r="J377" s="221"/>
      <c r="K377" s="221"/>
      <c r="L377" s="221"/>
      <c r="M377" s="221"/>
      <c r="N377" s="107"/>
    </row>
    <row r="378" spans="1:14" x14ac:dyDescent="0.25">
      <c r="J378" s="221"/>
      <c r="K378" s="221"/>
      <c r="L378" s="221"/>
      <c r="M378" s="221"/>
      <c r="N378" s="107"/>
    </row>
    <row r="379" spans="1:14" x14ac:dyDescent="0.25">
      <c r="J379" s="221"/>
      <c r="K379" s="221"/>
      <c r="L379" s="221"/>
      <c r="M379" s="221"/>
      <c r="N379" s="107"/>
    </row>
    <row r="380" spans="1:14" x14ac:dyDescent="0.25">
      <c r="J380" s="221"/>
      <c r="K380" s="221"/>
      <c r="L380" s="221"/>
      <c r="M380" s="221"/>
      <c r="N380" s="107"/>
    </row>
    <row r="381" spans="1:14" x14ac:dyDescent="0.25">
      <c r="J381" s="221"/>
      <c r="K381" s="221"/>
      <c r="L381" s="221"/>
      <c r="M381" s="221"/>
      <c r="N381" s="107"/>
    </row>
    <row r="382" spans="1:14" x14ac:dyDescent="0.25">
      <c r="J382" s="221"/>
      <c r="K382" s="221"/>
      <c r="L382" s="221"/>
      <c r="M382" s="221"/>
      <c r="N382" s="107"/>
    </row>
    <row r="383" spans="1:14" x14ac:dyDescent="0.25">
      <c r="J383" s="221"/>
      <c r="K383" s="221"/>
      <c r="L383" s="221"/>
      <c r="M383" s="221"/>
      <c r="N383" s="107"/>
    </row>
    <row r="384" spans="1:14" x14ac:dyDescent="0.25">
      <c r="J384" s="221"/>
      <c r="K384" s="221"/>
      <c r="L384" s="221"/>
      <c r="M384" s="221"/>
      <c r="N384" s="107"/>
    </row>
    <row r="385" spans="10:14" x14ac:dyDescent="0.25">
      <c r="J385" s="221"/>
      <c r="K385" s="221"/>
      <c r="L385" s="221"/>
      <c r="M385" s="221"/>
      <c r="N385" s="107"/>
    </row>
    <row r="386" spans="10:14" x14ac:dyDescent="0.25">
      <c r="J386" s="221"/>
      <c r="K386" s="221"/>
      <c r="L386" s="221"/>
      <c r="M386" s="221"/>
      <c r="N386" s="107"/>
    </row>
    <row r="387" spans="10:14" x14ac:dyDescent="0.25">
      <c r="J387" s="221"/>
      <c r="K387" s="221"/>
      <c r="L387" s="221"/>
      <c r="M387" s="221"/>
      <c r="N387" s="107"/>
    </row>
    <row r="388" spans="10:14" x14ac:dyDescent="0.25">
      <c r="J388" s="221"/>
      <c r="K388" s="221"/>
      <c r="L388" s="221"/>
      <c r="M388" s="221"/>
      <c r="N388" s="107"/>
    </row>
    <row r="389" spans="10:14" x14ac:dyDescent="0.25">
      <c r="J389" s="221"/>
      <c r="K389" s="221"/>
      <c r="L389" s="221"/>
      <c r="M389" s="221"/>
      <c r="N389" s="107"/>
    </row>
    <row r="390" spans="10:14" x14ac:dyDescent="0.25">
      <c r="J390" s="221"/>
      <c r="K390" s="221"/>
      <c r="L390" s="221"/>
      <c r="M390" s="221"/>
      <c r="N390" s="107"/>
    </row>
    <row r="391" spans="10:14" x14ac:dyDescent="0.25">
      <c r="J391" s="221"/>
      <c r="K391" s="221"/>
      <c r="L391" s="221"/>
      <c r="M391" s="221"/>
      <c r="N391" s="107"/>
    </row>
    <row r="392" spans="10:14" x14ac:dyDescent="0.25">
      <c r="J392" s="221"/>
      <c r="K392" s="221"/>
      <c r="L392" s="221"/>
      <c r="M392" s="221"/>
      <c r="N392" s="107"/>
    </row>
    <row r="393" spans="10:14" x14ac:dyDescent="0.25">
      <c r="J393" s="221"/>
      <c r="K393" s="221"/>
      <c r="L393" s="221"/>
      <c r="M393" s="221"/>
      <c r="N393" s="107"/>
    </row>
    <row r="394" spans="10:14" x14ac:dyDescent="0.25">
      <c r="J394" s="221"/>
      <c r="K394" s="221"/>
      <c r="L394" s="221"/>
      <c r="M394" s="221"/>
      <c r="N394" s="107"/>
    </row>
    <row r="395" spans="10:14" x14ac:dyDescent="0.25">
      <c r="J395" s="221"/>
      <c r="K395" s="221"/>
      <c r="L395" s="221"/>
      <c r="M395" s="221"/>
      <c r="N395" s="107"/>
    </row>
    <row r="396" spans="10:14" x14ac:dyDescent="0.25">
      <c r="J396" s="221"/>
      <c r="K396" s="221"/>
      <c r="L396" s="221"/>
      <c r="M396" s="221"/>
      <c r="N396" s="107"/>
    </row>
    <row r="397" spans="10:14" x14ac:dyDescent="0.25">
      <c r="J397" s="221"/>
      <c r="K397" s="221"/>
      <c r="L397" s="221"/>
      <c r="M397" s="221"/>
      <c r="N397" s="107"/>
    </row>
    <row r="398" spans="10:14" x14ac:dyDescent="0.25">
      <c r="J398" s="221"/>
      <c r="K398" s="221"/>
      <c r="L398" s="221"/>
      <c r="M398" s="221"/>
      <c r="N398" s="107"/>
    </row>
    <row r="399" spans="10:14" x14ac:dyDescent="0.25">
      <c r="J399" s="221"/>
      <c r="K399" s="221"/>
      <c r="L399" s="221"/>
      <c r="M399" s="221"/>
      <c r="N399" s="107"/>
    </row>
    <row r="400" spans="10:14" x14ac:dyDescent="0.25">
      <c r="J400" s="221"/>
      <c r="K400" s="221"/>
      <c r="L400" s="221"/>
      <c r="M400" s="221"/>
      <c r="N400" s="107"/>
    </row>
    <row r="401" spans="10:14" x14ac:dyDescent="0.25">
      <c r="J401" s="221"/>
      <c r="K401" s="221"/>
      <c r="L401" s="221"/>
      <c r="M401" s="221"/>
      <c r="N401" s="107"/>
    </row>
    <row r="402" spans="10:14" x14ac:dyDescent="0.25">
      <c r="J402" s="221"/>
      <c r="K402" s="221"/>
      <c r="L402" s="221"/>
      <c r="M402" s="221"/>
      <c r="N402" s="107"/>
    </row>
    <row r="403" spans="10:14" x14ac:dyDescent="0.25">
      <c r="J403" s="221"/>
      <c r="K403" s="221"/>
      <c r="L403" s="221"/>
      <c r="M403" s="221"/>
      <c r="N403" s="107"/>
    </row>
    <row r="404" spans="10:14" x14ac:dyDescent="0.25">
      <c r="J404" s="221"/>
      <c r="K404" s="221"/>
      <c r="L404" s="221"/>
      <c r="M404" s="221"/>
      <c r="N404" s="107"/>
    </row>
    <row r="405" spans="10:14" x14ac:dyDescent="0.25">
      <c r="J405" s="221"/>
      <c r="K405" s="221"/>
      <c r="L405" s="221"/>
      <c r="M405" s="221"/>
      <c r="N405" s="107"/>
    </row>
    <row r="406" spans="10:14" x14ac:dyDescent="0.25">
      <c r="J406" s="221"/>
      <c r="K406" s="221"/>
      <c r="L406" s="221"/>
      <c r="M406" s="221"/>
      <c r="N406" s="107"/>
    </row>
    <row r="407" spans="10:14" x14ac:dyDescent="0.25">
      <c r="J407" s="221"/>
      <c r="K407" s="221"/>
      <c r="L407" s="221"/>
      <c r="M407" s="221"/>
      <c r="N407" s="107"/>
    </row>
    <row r="408" spans="10:14" x14ac:dyDescent="0.25">
      <c r="J408" s="221"/>
      <c r="K408" s="221"/>
      <c r="L408" s="221"/>
      <c r="M408" s="221"/>
      <c r="N408" s="107"/>
    </row>
    <row r="409" spans="10:14" x14ac:dyDescent="0.25">
      <c r="J409" s="221"/>
      <c r="K409" s="221"/>
      <c r="L409" s="221"/>
      <c r="M409" s="221"/>
      <c r="N409" s="107"/>
    </row>
    <row r="410" spans="10:14" x14ac:dyDescent="0.25">
      <c r="J410" s="221"/>
      <c r="K410" s="221"/>
      <c r="L410" s="221"/>
      <c r="M410" s="221"/>
      <c r="N410" s="107"/>
    </row>
    <row r="411" spans="10:14" x14ac:dyDescent="0.25">
      <c r="J411" s="221"/>
      <c r="K411" s="221"/>
      <c r="L411" s="221"/>
      <c r="M411" s="221"/>
      <c r="N411" s="107"/>
    </row>
    <row r="412" spans="10:14" x14ac:dyDescent="0.25">
      <c r="J412" s="221"/>
      <c r="K412" s="221"/>
      <c r="L412" s="221"/>
      <c r="M412" s="221"/>
      <c r="N412" s="107"/>
    </row>
    <row r="413" spans="10:14" x14ac:dyDescent="0.25">
      <c r="J413" s="221"/>
      <c r="K413" s="221"/>
      <c r="L413" s="221"/>
      <c r="M413" s="221"/>
      <c r="N413" s="107"/>
    </row>
    <row r="414" spans="10:14" x14ac:dyDescent="0.25">
      <c r="J414" s="221"/>
      <c r="K414" s="221"/>
      <c r="L414" s="221"/>
      <c r="M414" s="221"/>
      <c r="N414" s="107"/>
    </row>
    <row r="415" spans="10:14" x14ac:dyDescent="0.25">
      <c r="J415" s="221"/>
      <c r="K415" s="221"/>
      <c r="L415" s="221"/>
      <c r="M415" s="221"/>
      <c r="N415" s="107"/>
    </row>
    <row r="416" spans="10:14" x14ac:dyDescent="0.25">
      <c r="J416" s="221"/>
      <c r="K416" s="221"/>
      <c r="L416" s="221"/>
      <c r="M416" s="221"/>
      <c r="N416" s="107"/>
    </row>
    <row r="417" spans="10:14" x14ac:dyDescent="0.25">
      <c r="J417" s="221"/>
      <c r="K417" s="221"/>
      <c r="L417" s="221"/>
      <c r="M417" s="221"/>
      <c r="N417" s="107"/>
    </row>
    <row r="418" spans="10:14" x14ac:dyDescent="0.25">
      <c r="J418" s="221"/>
      <c r="K418" s="221"/>
      <c r="L418" s="221"/>
      <c r="M418" s="221"/>
      <c r="N418" s="107"/>
    </row>
    <row r="419" spans="10:14" x14ac:dyDescent="0.25">
      <c r="J419" s="221"/>
      <c r="K419" s="221"/>
      <c r="L419" s="221"/>
      <c r="M419" s="221"/>
      <c r="N419" s="107"/>
    </row>
    <row r="420" spans="10:14" x14ac:dyDescent="0.25">
      <c r="J420" s="221"/>
      <c r="K420" s="221"/>
      <c r="L420" s="221"/>
      <c r="M420" s="221"/>
      <c r="N420" s="107"/>
    </row>
    <row r="421" spans="10:14" x14ac:dyDescent="0.25">
      <c r="J421" s="221"/>
      <c r="K421" s="221"/>
      <c r="L421" s="221"/>
      <c r="M421" s="221"/>
      <c r="N421" s="107"/>
    </row>
    <row r="422" spans="10:14" x14ac:dyDescent="0.25">
      <c r="J422" s="221"/>
      <c r="K422" s="221"/>
      <c r="L422" s="221"/>
      <c r="M422" s="221"/>
      <c r="N422" s="107"/>
    </row>
    <row r="423" spans="10:14" x14ac:dyDescent="0.25">
      <c r="J423" s="221"/>
      <c r="K423" s="221"/>
      <c r="L423" s="221"/>
      <c r="M423" s="221"/>
      <c r="N423" s="107"/>
    </row>
    <row r="424" spans="10:14" x14ac:dyDescent="0.25">
      <c r="J424" s="221"/>
      <c r="K424" s="221"/>
      <c r="L424" s="221"/>
      <c r="M424" s="221"/>
      <c r="N424" s="107"/>
    </row>
    <row r="425" spans="10:14" x14ac:dyDescent="0.25">
      <c r="J425" s="221"/>
      <c r="K425" s="221"/>
      <c r="L425" s="221"/>
      <c r="M425" s="221"/>
      <c r="N425" s="107"/>
    </row>
    <row r="426" spans="10:14" x14ac:dyDescent="0.25">
      <c r="J426" s="221"/>
      <c r="K426" s="221"/>
      <c r="L426" s="221"/>
      <c r="M426" s="221"/>
      <c r="N426" s="107"/>
    </row>
    <row r="427" spans="10:14" x14ac:dyDescent="0.25">
      <c r="J427" s="221"/>
      <c r="K427" s="221"/>
      <c r="L427" s="221"/>
      <c r="M427" s="221"/>
      <c r="N427" s="107"/>
    </row>
    <row r="428" spans="10:14" x14ac:dyDescent="0.25">
      <c r="J428" s="221"/>
      <c r="K428" s="221"/>
      <c r="L428" s="221"/>
      <c r="M428" s="221"/>
      <c r="N428" s="107"/>
    </row>
    <row r="429" spans="10:14" x14ac:dyDescent="0.25">
      <c r="J429" s="221"/>
      <c r="K429" s="221"/>
      <c r="L429" s="221"/>
      <c r="M429" s="221"/>
      <c r="N429" s="107"/>
    </row>
    <row r="430" spans="10:14" x14ac:dyDescent="0.25">
      <c r="J430" s="221"/>
      <c r="K430" s="221"/>
      <c r="L430" s="221"/>
      <c r="M430" s="221"/>
      <c r="N430" s="107"/>
    </row>
    <row r="431" spans="10:14" x14ac:dyDescent="0.25">
      <c r="J431" s="221"/>
      <c r="K431" s="221"/>
      <c r="L431" s="221"/>
      <c r="M431" s="221"/>
      <c r="N431" s="107"/>
    </row>
    <row r="432" spans="10:14" x14ac:dyDescent="0.25">
      <c r="J432" s="221"/>
      <c r="K432" s="221"/>
      <c r="L432" s="221"/>
      <c r="M432" s="221"/>
      <c r="N432" s="107"/>
    </row>
    <row r="433" spans="10:14" x14ac:dyDescent="0.25">
      <c r="J433" s="221"/>
      <c r="K433" s="221"/>
      <c r="L433" s="221"/>
      <c r="M433" s="221"/>
      <c r="N433" s="107"/>
    </row>
    <row r="434" spans="10:14" x14ac:dyDescent="0.25">
      <c r="J434" s="221"/>
      <c r="K434" s="221"/>
      <c r="L434" s="221"/>
      <c r="M434" s="221"/>
      <c r="N434" s="107"/>
    </row>
    <row r="435" spans="10:14" x14ac:dyDescent="0.25">
      <c r="J435" s="221"/>
      <c r="K435" s="221"/>
      <c r="L435" s="221"/>
      <c r="M435" s="221"/>
      <c r="N435" s="107"/>
    </row>
    <row r="436" spans="10:14" x14ac:dyDescent="0.25">
      <c r="J436" s="221"/>
      <c r="K436" s="221"/>
      <c r="L436" s="221"/>
      <c r="M436" s="221"/>
      <c r="N436" s="107"/>
    </row>
    <row r="437" spans="10:14" x14ac:dyDescent="0.25">
      <c r="J437" s="221"/>
      <c r="K437" s="221"/>
      <c r="L437" s="221"/>
      <c r="M437" s="221"/>
      <c r="N437" s="107"/>
    </row>
    <row r="438" spans="10:14" x14ac:dyDescent="0.25">
      <c r="J438" s="221"/>
      <c r="K438" s="221"/>
      <c r="L438" s="221"/>
      <c r="M438" s="221"/>
      <c r="N438" s="107"/>
    </row>
    <row r="439" spans="10:14" x14ac:dyDescent="0.25">
      <c r="J439" s="221"/>
      <c r="K439" s="221"/>
      <c r="L439" s="221"/>
      <c r="M439" s="221"/>
      <c r="N439" s="107"/>
    </row>
    <row r="440" spans="10:14" x14ac:dyDescent="0.25">
      <c r="J440" s="221"/>
      <c r="K440" s="221"/>
      <c r="L440" s="221"/>
      <c r="M440" s="221"/>
      <c r="N440" s="107"/>
    </row>
    <row r="441" spans="10:14" x14ac:dyDescent="0.25">
      <c r="J441" s="221"/>
      <c r="K441" s="221"/>
      <c r="L441" s="221"/>
      <c r="M441" s="221"/>
      <c r="N441" s="107"/>
    </row>
    <row r="442" spans="10:14" x14ac:dyDescent="0.25">
      <c r="J442" s="221"/>
      <c r="K442" s="221"/>
      <c r="L442" s="221"/>
      <c r="M442" s="221"/>
      <c r="N442" s="107"/>
    </row>
    <row r="443" spans="10:14" x14ac:dyDescent="0.25">
      <c r="J443" s="221"/>
      <c r="K443" s="221"/>
      <c r="L443" s="221"/>
      <c r="M443" s="221"/>
      <c r="N443" s="107"/>
    </row>
    <row r="444" spans="10:14" x14ac:dyDescent="0.25">
      <c r="J444" s="221"/>
      <c r="K444" s="221"/>
      <c r="L444" s="221"/>
      <c r="M444" s="221"/>
      <c r="N444" s="107"/>
    </row>
    <row r="445" spans="10:14" x14ac:dyDescent="0.25">
      <c r="J445" s="221"/>
      <c r="K445" s="221"/>
      <c r="L445" s="221"/>
      <c r="M445" s="221"/>
      <c r="N445" s="107"/>
    </row>
    <row r="446" spans="10:14" x14ac:dyDescent="0.25">
      <c r="J446" s="221"/>
      <c r="K446" s="221"/>
      <c r="L446" s="221"/>
      <c r="M446" s="221"/>
      <c r="N446" s="107"/>
    </row>
    <row r="447" spans="10:14" x14ac:dyDescent="0.25">
      <c r="J447" s="221"/>
      <c r="K447" s="221"/>
      <c r="L447" s="221"/>
      <c r="M447" s="221"/>
      <c r="N447" s="107"/>
    </row>
    <row r="448" spans="10:14" x14ac:dyDescent="0.25">
      <c r="J448" s="221"/>
      <c r="K448" s="221"/>
      <c r="L448" s="221"/>
      <c r="M448" s="221"/>
      <c r="N448" s="107"/>
    </row>
    <row r="449" spans="10:14" x14ac:dyDescent="0.25">
      <c r="J449" s="221"/>
      <c r="K449" s="221"/>
      <c r="L449" s="221"/>
      <c r="M449" s="221"/>
      <c r="N449" s="107"/>
    </row>
    <row r="450" spans="10:14" x14ac:dyDescent="0.25">
      <c r="J450" s="221"/>
      <c r="K450" s="221"/>
      <c r="L450" s="221"/>
      <c r="M450" s="221"/>
      <c r="N450" s="107"/>
    </row>
    <row r="451" spans="10:14" x14ac:dyDescent="0.25">
      <c r="J451" s="221"/>
      <c r="K451" s="221"/>
      <c r="L451" s="221"/>
      <c r="M451" s="221"/>
      <c r="N451" s="107"/>
    </row>
    <row r="452" spans="10:14" x14ac:dyDescent="0.25">
      <c r="J452" s="221"/>
      <c r="K452" s="221"/>
      <c r="L452" s="221"/>
      <c r="M452" s="221"/>
      <c r="N452" s="107"/>
    </row>
    <row r="453" spans="10:14" x14ac:dyDescent="0.25">
      <c r="J453" s="221"/>
      <c r="K453" s="221"/>
      <c r="L453" s="221"/>
      <c r="M453" s="221"/>
      <c r="N453" s="107"/>
    </row>
    <row r="454" spans="10:14" x14ac:dyDescent="0.25">
      <c r="J454" s="221"/>
      <c r="K454" s="221"/>
      <c r="L454" s="221"/>
      <c r="M454" s="221"/>
      <c r="N454" s="107"/>
    </row>
    <row r="455" spans="10:14" x14ac:dyDescent="0.25">
      <c r="J455" s="221"/>
      <c r="K455" s="221"/>
      <c r="L455" s="221"/>
      <c r="M455" s="221"/>
      <c r="N455" s="107"/>
    </row>
    <row r="456" spans="10:14" x14ac:dyDescent="0.25">
      <c r="J456" s="221"/>
      <c r="K456" s="221"/>
      <c r="L456" s="221"/>
      <c r="M456" s="221"/>
      <c r="N456" s="107"/>
    </row>
    <row r="457" spans="10:14" x14ac:dyDescent="0.25">
      <c r="J457" s="221"/>
      <c r="K457" s="221"/>
      <c r="L457" s="221"/>
      <c r="M457" s="221"/>
      <c r="N457" s="107"/>
    </row>
    <row r="458" spans="10:14" x14ac:dyDescent="0.25">
      <c r="J458" s="221"/>
      <c r="K458" s="221"/>
      <c r="L458" s="221"/>
      <c r="M458" s="221"/>
      <c r="N458" s="107"/>
    </row>
    <row r="459" spans="10:14" x14ac:dyDescent="0.25">
      <c r="J459" s="221"/>
      <c r="K459" s="221"/>
      <c r="L459" s="221"/>
      <c r="M459" s="221"/>
      <c r="N459" s="107"/>
    </row>
    <row r="460" spans="10:14" x14ac:dyDescent="0.25">
      <c r="J460" s="221"/>
      <c r="K460" s="221"/>
      <c r="L460" s="221"/>
      <c r="M460" s="221"/>
      <c r="N460" s="107"/>
    </row>
    <row r="461" spans="10:14" x14ac:dyDescent="0.25">
      <c r="J461" s="221"/>
      <c r="K461" s="221"/>
      <c r="L461" s="221"/>
      <c r="M461" s="221"/>
      <c r="N461" s="107"/>
    </row>
    <row r="462" spans="10:14" x14ac:dyDescent="0.25">
      <c r="J462" s="221"/>
      <c r="K462" s="221"/>
      <c r="L462" s="221"/>
      <c r="M462" s="221"/>
      <c r="N462" s="107"/>
    </row>
    <row r="463" spans="10:14" x14ac:dyDescent="0.25">
      <c r="J463" s="221"/>
      <c r="K463" s="221"/>
      <c r="L463" s="221"/>
      <c r="M463" s="221"/>
      <c r="N463" s="107"/>
    </row>
    <row r="464" spans="10:14" x14ac:dyDescent="0.25">
      <c r="J464" s="221"/>
      <c r="K464" s="221"/>
      <c r="L464" s="221"/>
      <c r="M464" s="221"/>
      <c r="N464" s="107"/>
    </row>
    <row r="465" spans="10:14" x14ac:dyDescent="0.25">
      <c r="J465" s="221"/>
      <c r="K465" s="221"/>
      <c r="L465" s="221"/>
      <c r="M465" s="221"/>
      <c r="N465" s="107"/>
    </row>
    <row r="466" spans="10:14" x14ac:dyDescent="0.25">
      <c r="J466" s="455"/>
      <c r="K466" s="455"/>
      <c r="L466" s="455"/>
      <c r="M466" s="221"/>
      <c r="N466" s="107"/>
    </row>
    <row r="467" spans="10:14" x14ac:dyDescent="0.25">
      <c r="J467" s="221"/>
      <c r="K467" s="221"/>
      <c r="L467" s="221"/>
      <c r="M467" s="221"/>
      <c r="N467" s="107"/>
    </row>
    <row r="468" spans="10:14" x14ac:dyDescent="0.25">
      <c r="J468" s="456"/>
      <c r="K468" s="456"/>
      <c r="L468" s="456"/>
      <c r="M468" s="221"/>
      <c r="N468" s="107"/>
    </row>
  </sheetData>
  <sheetProtection password="87E5" sheet="1" objects="1" scenarios="1"/>
  <mergeCells count="3">
    <mergeCell ref="A1:D1"/>
    <mergeCell ref="F1:G1"/>
    <mergeCell ref="A366:D367"/>
  </mergeCells>
  <dataValidations count="1">
    <dataValidation type="list" allowBlank="1" showInputMessage="1" showErrorMessage="1" sqref="J2:J369">
      <formula1>kategória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5" fitToHeight="0" orientation="landscape" r:id="rId1"/>
  <headerFooter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0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2" sqref="H12"/>
    </sheetView>
  </sheetViews>
  <sheetFormatPr defaultRowHeight="15" x14ac:dyDescent="0.25"/>
  <cols>
    <col min="1" max="1" width="3.5703125" style="392" bestFit="1" customWidth="1"/>
    <col min="2" max="2" width="37.5703125" style="371" customWidth="1"/>
    <col min="3" max="3" width="11.7109375" style="370" customWidth="1"/>
    <col min="4" max="4" width="12.28515625" style="370" customWidth="1"/>
    <col min="5" max="5" width="14.5703125" style="370" bestFit="1" customWidth="1"/>
    <col min="6" max="6" width="11.7109375" style="370" customWidth="1"/>
    <col min="7" max="7" width="10.7109375" style="370" customWidth="1"/>
    <col min="8" max="8" width="14.5703125" style="370" bestFit="1" customWidth="1"/>
    <col min="9" max="9" width="11.7109375" style="370" customWidth="1"/>
    <col min="10" max="10" width="10.7109375" style="370" customWidth="1"/>
    <col min="11" max="11" width="14.5703125" style="370" bestFit="1" customWidth="1"/>
    <col min="12" max="12" width="11.7109375" style="370" customWidth="1"/>
    <col min="13" max="13" width="10.7109375" style="370" customWidth="1"/>
    <col min="14" max="14" width="13.85546875" style="370" bestFit="1" customWidth="1"/>
    <col min="15" max="15" width="12" style="370" bestFit="1" customWidth="1"/>
    <col min="16" max="16" width="16.42578125" style="370" customWidth="1"/>
    <col min="17" max="17" width="3.28515625" style="370" customWidth="1"/>
    <col min="18" max="18" width="8" style="388" hidden="1" customWidth="1"/>
    <col min="19" max="19" width="11.42578125" style="370" hidden="1" customWidth="1"/>
    <col min="20" max="20" width="3.85546875" style="370" hidden="1" customWidth="1"/>
    <col min="21" max="21" width="9.85546875" style="370" hidden="1" customWidth="1"/>
    <col min="22" max="22" width="12.140625" style="370" hidden="1" customWidth="1"/>
    <col min="23" max="23" width="11.42578125" style="370" hidden="1" customWidth="1"/>
    <col min="24" max="24" width="9.140625" style="370" hidden="1" customWidth="1"/>
    <col min="25" max="25" width="16.85546875" style="414" hidden="1" customWidth="1"/>
    <col min="26" max="26" width="7.42578125" style="414" hidden="1" customWidth="1"/>
    <col min="27" max="27" width="10.7109375" style="370" hidden="1" customWidth="1"/>
    <col min="28" max="28" width="4.42578125" style="370" hidden="1" customWidth="1"/>
    <col min="29" max="30" width="9.140625" style="370" hidden="1" customWidth="1"/>
    <col min="31" max="32" width="0" style="370" hidden="1" customWidth="1"/>
    <col min="33" max="16384" width="9.140625" style="370"/>
  </cols>
  <sheetData>
    <row r="2" spans="1:28" s="388" customFormat="1" ht="18.75" x14ac:dyDescent="0.25">
      <c r="A2" s="576" t="s">
        <v>2013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Y2" s="414"/>
      <c r="Z2" s="414"/>
    </row>
    <row r="3" spans="1:28" s="388" customFormat="1" ht="18.75" x14ac:dyDescent="0.2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Y3" s="414"/>
      <c r="Z3" s="414"/>
    </row>
    <row r="4" spans="1:28" s="389" customFormat="1" ht="15" customHeight="1" x14ac:dyDescent="0.25">
      <c r="A4" s="615" t="s">
        <v>1589</v>
      </c>
      <c r="B4" s="573" t="s">
        <v>1805</v>
      </c>
      <c r="C4" s="581" t="s">
        <v>112</v>
      </c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R4" s="582" t="s">
        <v>1824</v>
      </c>
      <c r="S4" s="583" t="s">
        <v>1842</v>
      </c>
      <c r="U4" s="575" t="s">
        <v>1959</v>
      </c>
      <c r="V4" s="573" t="s">
        <v>1960</v>
      </c>
      <c r="Y4" s="415"/>
      <c r="Z4" s="415"/>
    </row>
    <row r="5" spans="1:28" s="389" customFormat="1" x14ac:dyDescent="0.25">
      <c r="A5" s="615"/>
      <c r="B5" s="574"/>
      <c r="C5" s="584" t="s">
        <v>5</v>
      </c>
      <c r="D5" s="585"/>
      <c r="E5" s="586"/>
      <c r="F5" s="587" t="s">
        <v>37</v>
      </c>
      <c r="G5" s="588"/>
      <c r="H5" s="589"/>
      <c r="I5" s="590" t="s">
        <v>361</v>
      </c>
      <c r="J5" s="591"/>
      <c r="K5" s="592"/>
      <c r="L5" s="593" t="s">
        <v>229</v>
      </c>
      <c r="M5" s="594"/>
      <c r="N5" s="595"/>
      <c r="O5" s="596" t="s">
        <v>2073</v>
      </c>
      <c r="P5" s="597"/>
      <c r="R5" s="582"/>
      <c r="S5" s="583"/>
      <c r="U5" s="575"/>
      <c r="V5" s="574"/>
      <c r="Y5" s="415"/>
      <c r="Z5" s="415"/>
    </row>
    <row r="6" spans="1:28" s="389" customFormat="1" ht="33" customHeight="1" x14ac:dyDescent="0.25">
      <c r="A6" s="615"/>
      <c r="B6" s="580"/>
      <c r="C6" s="390" t="s">
        <v>1560</v>
      </c>
      <c r="D6" s="396" t="s">
        <v>1840</v>
      </c>
      <c r="E6" s="398" t="s">
        <v>1841</v>
      </c>
      <c r="F6" s="390" t="s">
        <v>1560</v>
      </c>
      <c r="G6" s="396" t="s">
        <v>1840</v>
      </c>
      <c r="H6" s="399" t="s">
        <v>1841</v>
      </c>
      <c r="I6" s="390" t="s">
        <v>1560</v>
      </c>
      <c r="J6" s="396" t="s">
        <v>1840</v>
      </c>
      <c r="K6" s="401" t="s">
        <v>1841</v>
      </c>
      <c r="L6" s="390" t="s">
        <v>1560</v>
      </c>
      <c r="M6" s="396" t="s">
        <v>1840</v>
      </c>
      <c r="N6" s="402" t="s">
        <v>1841</v>
      </c>
      <c r="O6" s="390" t="s">
        <v>1560</v>
      </c>
      <c r="P6" s="400" t="s">
        <v>1841</v>
      </c>
      <c r="R6" s="582"/>
      <c r="S6" s="583"/>
      <c r="U6" s="575"/>
      <c r="V6" s="574"/>
      <c r="W6" s="489" t="s">
        <v>1826</v>
      </c>
      <c r="X6" s="413" t="s">
        <v>1827</v>
      </c>
      <c r="Y6" s="416"/>
      <c r="Z6" s="415"/>
    </row>
    <row r="7" spans="1:28" x14ac:dyDescent="0.25">
      <c r="A7" s="391" t="s">
        <v>1782</v>
      </c>
      <c r="B7" s="393" t="s">
        <v>1845</v>
      </c>
      <c r="C7" s="377">
        <f>'Közp. Gyógyszerr. (3)'!E26</f>
        <v>162.69999999999999</v>
      </c>
      <c r="D7" s="377">
        <f t="shared" ref="D7:D22" si="0">$C$39</f>
        <v>0</v>
      </c>
      <c r="E7" s="378">
        <f>C7*D7*U7</f>
        <v>0</v>
      </c>
      <c r="F7" s="377">
        <v>0</v>
      </c>
      <c r="G7" s="377">
        <f t="shared" ref="G7:G22" si="1">$C$40</f>
        <v>0</v>
      </c>
      <c r="H7" s="379">
        <f>F7*G7*U7</f>
        <v>0</v>
      </c>
      <c r="I7" s="377">
        <f>'Közp. Gyógyszerr. (3)'!E28</f>
        <v>108.10000000000001</v>
      </c>
      <c r="J7" s="377">
        <f t="shared" ref="J7:J22" si="2">$C$41</f>
        <v>0</v>
      </c>
      <c r="K7" s="380">
        <f>I7*J7*U7</f>
        <v>0</v>
      </c>
      <c r="L7" s="377">
        <v>0</v>
      </c>
      <c r="M7" s="377">
        <f t="shared" ref="M7:M22" si="3">$C$42</f>
        <v>0</v>
      </c>
      <c r="N7" s="381">
        <f>L7*M7*U7</f>
        <v>0</v>
      </c>
      <c r="O7" s="377">
        <f>C7+F7+I7+L7</f>
        <v>270.8</v>
      </c>
      <c r="P7" s="382">
        <f>E7+H7+K7+N7</f>
        <v>0</v>
      </c>
      <c r="R7" s="388">
        <f>O7-'Közp. Gyógyszerr. (3)'!E23</f>
        <v>0</v>
      </c>
      <c r="S7" s="377">
        <f>P7/O7/U7</f>
        <v>0</v>
      </c>
      <c r="U7" s="377">
        <v>21</v>
      </c>
      <c r="V7" s="420">
        <f>U7*O7</f>
        <v>5686.8</v>
      </c>
    </row>
    <row r="8" spans="1:28" x14ac:dyDescent="0.25">
      <c r="A8" s="391" t="s">
        <v>1783</v>
      </c>
      <c r="B8" s="393" t="s">
        <v>1844</v>
      </c>
      <c r="C8" s="377">
        <f>'Közp. Ágymosó (4)'!E26</f>
        <v>163.80000000000001</v>
      </c>
      <c r="D8" s="377">
        <f t="shared" si="0"/>
        <v>0</v>
      </c>
      <c r="E8" s="378">
        <f t="shared" ref="E8:E21" si="4">C8*D8*U8</f>
        <v>0</v>
      </c>
      <c r="F8" s="377">
        <f>'Közp. Ágymosó (4)'!E27</f>
        <v>0</v>
      </c>
      <c r="G8" s="377">
        <f t="shared" si="1"/>
        <v>0</v>
      </c>
      <c r="H8" s="379">
        <f t="shared" ref="H8:H21" si="5">F8*G8*U8</f>
        <v>0</v>
      </c>
      <c r="I8" s="377">
        <f>'Közp. Ágymosó (4)'!E28</f>
        <v>69.800000000000011</v>
      </c>
      <c r="J8" s="377">
        <f t="shared" si="2"/>
        <v>0</v>
      </c>
      <c r="K8" s="380">
        <f t="shared" ref="K8:K21" si="6">I8*J8*U8</f>
        <v>0</v>
      </c>
      <c r="L8" s="377">
        <f>'Közp. Ágymosó (4)'!E29</f>
        <v>0</v>
      </c>
      <c r="M8" s="377">
        <f t="shared" si="3"/>
        <v>0</v>
      </c>
      <c r="N8" s="381">
        <f t="shared" ref="N8:N21" si="7">L8*M8*U8</f>
        <v>0</v>
      </c>
      <c r="O8" s="377">
        <f t="shared" ref="O8:O21" si="8">C8+F8+I8+L8</f>
        <v>233.60000000000002</v>
      </c>
      <c r="P8" s="382">
        <f t="shared" ref="P8:P21" si="9">E8+H8+K8+N8</f>
        <v>0</v>
      </c>
      <c r="R8" s="388">
        <f>O8-'Közp. Ágymosó (4)'!E23</f>
        <v>0</v>
      </c>
      <c r="S8" s="377">
        <f t="shared" ref="S8:S21" si="10">P8/O8/U8</f>
        <v>0</v>
      </c>
      <c r="U8" s="377">
        <v>21</v>
      </c>
      <c r="V8" s="420">
        <f t="shared" ref="V8:V21" si="11">U8*O8</f>
        <v>4905.6000000000004</v>
      </c>
    </row>
    <row r="9" spans="1:28" x14ac:dyDescent="0.25">
      <c r="A9" s="391" t="s">
        <v>1784</v>
      </c>
      <c r="B9" s="393" t="s">
        <v>1820</v>
      </c>
      <c r="C9" s="377">
        <f>'SBO (5)'!E89</f>
        <v>0</v>
      </c>
      <c r="D9" s="377">
        <f t="shared" si="0"/>
        <v>0</v>
      </c>
      <c r="E9" s="378">
        <f t="shared" si="4"/>
        <v>0</v>
      </c>
      <c r="F9" s="377">
        <f>'SBO (5)'!E90</f>
        <v>1257.6999999999998</v>
      </c>
      <c r="G9" s="377">
        <f t="shared" si="1"/>
        <v>0</v>
      </c>
      <c r="H9" s="379">
        <f t="shared" si="5"/>
        <v>0</v>
      </c>
      <c r="I9" s="377">
        <f>'SBO (5)'!E91</f>
        <v>162.70000000000005</v>
      </c>
      <c r="J9" s="377">
        <f t="shared" si="2"/>
        <v>0</v>
      </c>
      <c r="K9" s="380">
        <f t="shared" si="6"/>
        <v>0</v>
      </c>
      <c r="L9" s="377">
        <f>'SBO (5)'!E92</f>
        <v>0</v>
      </c>
      <c r="M9" s="377">
        <f t="shared" si="3"/>
        <v>0</v>
      </c>
      <c r="N9" s="381">
        <f t="shared" si="7"/>
        <v>0</v>
      </c>
      <c r="O9" s="377">
        <f t="shared" si="8"/>
        <v>1420.3999999999999</v>
      </c>
      <c r="P9" s="382">
        <f t="shared" si="9"/>
        <v>0</v>
      </c>
      <c r="R9" s="388">
        <f>O9-'SBO (5)'!E86</f>
        <v>0</v>
      </c>
      <c r="S9" s="377">
        <f t="shared" si="10"/>
        <v>0</v>
      </c>
      <c r="U9" s="377">
        <v>30.42</v>
      </c>
      <c r="V9" s="420">
        <f t="shared" si="11"/>
        <v>43208.567999999999</v>
      </c>
      <c r="W9" s="370">
        <f>O9</f>
        <v>1420.3999999999999</v>
      </c>
    </row>
    <row r="10" spans="1:28" x14ac:dyDescent="0.25">
      <c r="A10" s="391" t="s">
        <v>1785</v>
      </c>
      <c r="B10" s="393" t="s">
        <v>1846</v>
      </c>
      <c r="C10" s="377">
        <f>'Közp. radiológia (6)'!E125</f>
        <v>1251.0599999999997</v>
      </c>
      <c r="D10" s="377">
        <f t="shared" si="0"/>
        <v>0</v>
      </c>
      <c r="E10" s="378">
        <f t="shared" si="4"/>
        <v>0</v>
      </c>
      <c r="F10" s="377">
        <f>'Közp. radiológia (6)'!E126</f>
        <v>0</v>
      </c>
      <c r="G10" s="377">
        <f t="shared" si="1"/>
        <v>0</v>
      </c>
      <c r="H10" s="379">
        <f t="shared" si="5"/>
        <v>0</v>
      </c>
      <c r="I10" s="377">
        <f>'Közp. radiológia (6)'!E127</f>
        <v>377.1</v>
      </c>
      <c r="J10" s="377">
        <f t="shared" si="2"/>
        <v>0</v>
      </c>
      <c r="K10" s="380">
        <f t="shared" si="6"/>
        <v>0</v>
      </c>
      <c r="L10" s="377">
        <f>'Közp. radiológia (6)'!E128</f>
        <v>0</v>
      </c>
      <c r="M10" s="377">
        <f t="shared" si="3"/>
        <v>0</v>
      </c>
      <c r="N10" s="381">
        <f t="shared" si="7"/>
        <v>0</v>
      </c>
      <c r="O10" s="377">
        <f t="shared" si="8"/>
        <v>1628.1599999999999</v>
      </c>
      <c r="P10" s="382">
        <f t="shared" si="9"/>
        <v>0</v>
      </c>
      <c r="R10" s="388">
        <f>O10-'Közp. radiológia (6)'!E122</f>
        <v>0</v>
      </c>
      <c r="S10" s="377">
        <f t="shared" si="10"/>
        <v>0</v>
      </c>
      <c r="U10" s="377">
        <v>21</v>
      </c>
      <c r="V10" s="420">
        <f t="shared" si="11"/>
        <v>34191.360000000001</v>
      </c>
    </row>
    <row r="11" spans="1:28" x14ac:dyDescent="0.25">
      <c r="A11" s="391" t="s">
        <v>1786</v>
      </c>
      <c r="B11" s="408" t="s">
        <v>377</v>
      </c>
      <c r="C11" s="377">
        <f>'Ortopédia (7)'!E69</f>
        <v>724.11000000000013</v>
      </c>
      <c r="D11" s="377">
        <f t="shared" si="0"/>
        <v>0</v>
      </c>
      <c r="E11" s="378">
        <f t="shared" si="4"/>
        <v>0</v>
      </c>
      <c r="F11" s="377">
        <f>'Ortopédia (7)'!E70</f>
        <v>0</v>
      </c>
      <c r="G11" s="377">
        <f t="shared" si="1"/>
        <v>0</v>
      </c>
      <c r="H11" s="379">
        <f t="shared" si="5"/>
        <v>0</v>
      </c>
      <c r="I11" s="377">
        <f>'Ortopédia (7)'!E71</f>
        <v>0</v>
      </c>
      <c r="J11" s="377">
        <f t="shared" si="2"/>
        <v>0</v>
      </c>
      <c r="K11" s="380">
        <f t="shared" si="6"/>
        <v>0</v>
      </c>
      <c r="L11" s="377">
        <f>'Ortopédia (7)'!E72</f>
        <v>123.71000000000001</v>
      </c>
      <c r="M11" s="377">
        <f t="shared" si="3"/>
        <v>0</v>
      </c>
      <c r="N11" s="381">
        <f t="shared" si="7"/>
        <v>0</v>
      </c>
      <c r="O11" s="377">
        <f t="shared" si="8"/>
        <v>847.82000000000016</v>
      </c>
      <c r="P11" s="382">
        <f>E11+H11+K11+N11</f>
        <v>0</v>
      </c>
      <c r="R11" s="388">
        <f>O11-'Ortopédia (7)'!E64</f>
        <v>0</v>
      </c>
      <c r="S11" s="377">
        <f t="shared" si="10"/>
        <v>0</v>
      </c>
      <c r="U11" s="377">
        <v>21</v>
      </c>
      <c r="V11" s="420">
        <f t="shared" si="11"/>
        <v>17804.220000000005</v>
      </c>
    </row>
    <row r="12" spans="1:28" x14ac:dyDescent="0.25">
      <c r="A12" s="391" t="s">
        <v>1787</v>
      </c>
      <c r="B12" s="393" t="s">
        <v>1847</v>
      </c>
      <c r="C12" s="377">
        <f>'Közp. sterilizáló (8)'!E39</f>
        <v>0</v>
      </c>
      <c r="D12" s="377">
        <f t="shared" si="0"/>
        <v>0</v>
      </c>
      <c r="E12" s="378">
        <f t="shared" si="4"/>
        <v>0</v>
      </c>
      <c r="F12" s="377">
        <f>'Közp. sterilizáló (8)'!E40</f>
        <v>447.7000000000001</v>
      </c>
      <c r="G12" s="377">
        <f t="shared" si="1"/>
        <v>0</v>
      </c>
      <c r="H12" s="379">
        <f t="shared" si="5"/>
        <v>0</v>
      </c>
      <c r="I12" s="377">
        <f>'Közp. sterilizáló (8)'!E41</f>
        <v>6.8</v>
      </c>
      <c r="J12" s="377">
        <f t="shared" si="2"/>
        <v>0</v>
      </c>
      <c r="K12" s="380">
        <f t="shared" si="6"/>
        <v>0</v>
      </c>
      <c r="L12" s="377">
        <f>'Közp. sterilizáló (8)'!E42</f>
        <v>0</v>
      </c>
      <c r="M12" s="377">
        <f t="shared" si="3"/>
        <v>0</v>
      </c>
      <c r="N12" s="381">
        <f t="shared" si="7"/>
        <v>0</v>
      </c>
      <c r="O12" s="377">
        <f t="shared" si="8"/>
        <v>454.50000000000011</v>
      </c>
      <c r="P12" s="382">
        <f t="shared" si="9"/>
        <v>0</v>
      </c>
      <c r="R12" s="388">
        <f>O12-'Közp. sterilizáló (8)'!E36</f>
        <v>0</v>
      </c>
      <c r="S12" s="377">
        <f t="shared" si="10"/>
        <v>0</v>
      </c>
      <c r="U12" s="377">
        <v>30.42</v>
      </c>
      <c r="V12" s="420">
        <f t="shared" si="11"/>
        <v>13825.890000000005</v>
      </c>
      <c r="W12" s="370">
        <f>O12</f>
        <v>454.50000000000011</v>
      </c>
      <c r="Y12" s="428"/>
      <c r="Z12" s="484" t="s">
        <v>1939</v>
      </c>
      <c r="AA12" s="487">
        <v>31</v>
      </c>
      <c r="AB12" s="423" t="s">
        <v>1833</v>
      </c>
    </row>
    <row r="13" spans="1:28" x14ac:dyDescent="0.25">
      <c r="A13" s="391" t="s">
        <v>1788</v>
      </c>
      <c r="B13" s="458" t="s">
        <v>1848</v>
      </c>
      <c r="C13" s="377">
        <f>'Egyéb (9)'!E18</f>
        <v>0</v>
      </c>
      <c r="D13" s="377">
        <f t="shared" si="0"/>
        <v>0</v>
      </c>
      <c r="E13" s="378">
        <f t="shared" si="4"/>
        <v>0</v>
      </c>
      <c r="F13" s="377">
        <f>'Egyéb (9)'!E19</f>
        <v>0</v>
      </c>
      <c r="G13" s="377">
        <f t="shared" si="1"/>
        <v>0</v>
      </c>
      <c r="H13" s="379">
        <f t="shared" si="5"/>
        <v>0</v>
      </c>
      <c r="I13" s="377">
        <f>'Egyéb (9)'!E20</f>
        <v>170</v>
      </c>
      <c r="J13" s="377">
        <f t="shared" si="2"/>
        <v>0</v>
      </c>
      <c r="K13" s="380">
        <f t="shared" si="6"/>
        <v>0</v>
      </c>
      <c r="L13" s="377">
        <f>'Egyéb (9)'!E21</f>
        <v>0</v>
      </c>
      <c r="M13" s="377">
        <f t="shared" si="3"/>
        <v>0</v>
      </c>
      <c r="N13" s="381">
        <f t="shared" si="7"/>
        <v>0</v>
      </c>
      <c r="O13" s="377">
        <f t="shared" si="8"/>
        <v>170</v>
      </c>
      <c r="P13" s="382">
        <f t="shared" si="9"/>
        <v>0</v>
      </c>
      <c r="R13" s="388">
        <f>O13-'Egyéb (9)'!E15</f>
        <v>-49.599999999999937</v>
      </c>
      <c r="S13" s="377">
        <f t="shared" si="10"/>
        <v>0</v>
      </c>
      <c r="U13" s="377">
        <v>21</v>
      </c>
      <c r="V13" s="420">
        <f t="shared" si="11"/>
        <v>3570</v>
      </c>
      <c r="Y13" s="419"/>
      <c r="Z13" s="465" t="s">
        <v>1940</v>
      </c>
      <c r="AA13" s="463">
        <v>28</v>
      </c>
      <c r="AB13" s="424" t="s">
        <v>1833</v>
      </c>
    </row>
    <row r="14" spans="1:28" x14ac:dyDescent="0.25">
      <c r="A14" s="391" t="s">
        <v>1789</v>
      </c>
      <c r="B14" s="393" t="s">
        <v>867</v>
      </c>
      <c r="C14" s="377">
        <f>'Anesthesiológia (10)'!E94</f>
        <v>49.6</v>
      </c>
      <c r="D14" s="377">
        <f t="shared" si="0"/>
        <v>0</v>
      </c>
      <c r="E14" s="378">
        <f t="shared" si="4"/>
        <v>0</v>
      </c>
      <c r="F14" s="377">
        <f>'Anesthesiológia (10)'!E95</f>
        <v>855.00000000000011</v>
      </c>
      <c r="G14" s="377">
        <f t="shared" si="1"/>
        <v>0</v>
      </c>
      <c r="H14" s="379">
        <f t="shared" si="5"/>
        <v>0</v>
      </c>
      <c r="I14" s="377">
        <f>'Anesthesiológia (10)'!E96</f>
        <v>342.17999999999995</v>
      </c>
      <c r="J14" s="377">
        <f t="shared" si="2"/>
        <v>0</v>
      </c>
      <c r="K14" s="380">
        <f t="shared" si="6"/>
        <v>0</v>
      </c>
      <c r="L14" s="377">
        <f>'Anesthesiológia (10)'!E97</f>
        <v>0</v>
      </c>
      <c r="M14" s="377">
        <f t="shared" si="3"/>
        <v>0</v>
      </c>
      <c r="N14" s="381">
        <f t="shared" si="7"/>
        <v>0</v>
      </c>
      <c r="O14" s="377">
        <f t="shared" si="8"/>
        <v>1246.7800000000002</v>
      </c>
      <c r="P14" s="382">
        <f t="shared" si="9"/>
        <v>0</v>
      </c>
      <c r="R14" s="388">
        <f>O14-'Anesthesiológia (10)'!E91</f>
        <v>0</v>
      </c>
      <c r="S14" s="377">
        <f t="shared" si="10"/>
        <v>0</v>
      </c>
      <c r="U14" s="377">
        <v>30.42</v>
      </c>
      <c r="V14" s="420">
        <f t="shared" si="11"/>
        <v>37927.047600000005</v>
      </c>
      <c r="W14" s="370">
        <f>O14</f>
        <v>1246.7800000000002</v>
      </c>
      <c r="Y14" s="419"/>
      <c r="Z14" s="465" t="s">
        <v>1941</v>
      </c>
      <c r="AA14" s="463">
        <v>31</v>
      </c>
      <c r="AB14" s="424" t="s">
        <v>1833</v>
      </c>
    </row>
    <row r="15" spans="1:28" x14ac:dyDescent="0.25">
      <c r="A15" s="391" t="s">
        <v>1790</v>
      </c>
      <c r="B15" s="393" t="s">
        <v>868</v>
      </c>
      <c r="C15" s="377">
        <f>'Közp. labor (11)'!E100</f>
        <v>1032.9100000000001</v>
      </c>
      <c r="D15" s="377">
        <f t="shared" si="0"/>
        <v>0</v>
      </c>
      <c r="E15" s="378">
        <f t="shared" si="4"/>
        <v>0</v>
      </c>
      <c r="F15" s="377">
        <f>'Közp. labor (11)'!E101</f>
        <v>0</v>
      </c>
      <c r="G15" s="377">
        <f t="shared" si="1"/>
        <v>0</v>
      </c>
      <c r="H15" s="379">
        <f t="shared" si="5"/>
        <v>0</v>
      </c>
      <c r="I15" s="377">
        <f>'Közp. labor (11)'!E102</f>
        <v>232.59999999999991</v>
      </c>
      <c r="J15" s="377">
        <f t="shared" si="2"/>
        <v>0</v>
      </c>
      <c r="K15" s="380">
        <f t="shared" si="6"/>
        <v>0</v>
      </c>
      <c r="L15" s="377">
        <f>'Közp. labor (11)'!E103</f>
        <v>0</v>
      </c>
      <c r="M15" s="377">
        <f t="shared" si="3"/>
        <v>0</v>
      </c>
      <c r="N15" s="381">
        <f t="shared" si="7"/>
        <v>0</v>
      </c>
      <c r="O15" s="377">
        <f t="shared" si="8"/>
        <v>1265.51</v>
      </c>
      <c r="P15" s="382">
        <f t="shared" si="9"/>
        <v>0</v>
      </c>
      <c r="R15" s="388">
        <f>O15-'Közp. labor (11)'!E97</f>
        <v>0</v>
      </c>
      <c r="S15" s="377">
        <f t="shared" si="10"/>
        <v>0</v>
      </c>
      <c r="U15" s="377">
        <v>30.42</v>
      </c>
      <c r="V15" s="420">
        <f t="shared" si="11"/>
        <v>38496.814200000001</v>
      </c>
      <c r="W15" s="370">
        <f>O15</f>
        <v>1265.51</v>
      </c>
      <c r="Y15" s="419"/>
      <c r="Z15" s="465" t="s">
        <v>1942</v>
      </c>
      <c r="AA15" s="463">
        <v>30</v>
      </c>
      <c r="AB15" s="424" t="s">
        <v>1833</v>
      </c>
    </row>
    <row r="16" spans="1:28" x14ac:dyDescent="0.25">
      <c r="A16" s="391" t="s">
        <v>1791</v>
      </c>
      <c r="B16" s="393" t="s">
        <v>999</v>
      </c>
      <c r="C16" s="377">
        <f>'Vérdepo (12)'!E11</f>
        <v>35.200000000000003</v>
      </c>
      <c r="D16" s="377">
        <f t="shared" si="0"/>
        <v>0</v>
      </c>
      <c r="E16" s="378">
        <f t="shared" si="4"/>
        <v>0</v>
      </c>
      <c r="F16" s="377">
        <f>'Vérdepo (12)'!E12</f>
        <v>0</v>
      </c>
      <c r="G16" s="377">
        <f t="shared" si="1"/>
        <v>0</v>
      </c>
      <c r="H16" s="379">
        <f t="shared" si="5"/>
        <v>0</v>
      </c>
      <c r="I16" s="377">
        <f>'Vérdepo (12)'!E13</f>
        <v>0</v>
      </c>
      <c r="J16" s="377">
        <f t="shared" si="2"/>
        <v>0</v>
      </c>
      <c r="K16" s="380">
        <f t="shared" si="6"/>
        <v>0</v>
      </c>
      <c r="L16" s="377">
        <f>'Vérdepo (12)'!E14</f>
        <v>0</v>
      </c>
      <c r="M16" s="377">
        <f t="shared" si="3"/>
        <v>0</v>
      </c>
      <c r="N16" s="381">
        <f t="shared" si="7"/>
        <v>0</v>
      </c>
      <c r="O16" s="377">
        <f t="shared" si="8"/>
        <v>35.200000000000003</v>
      </c>
      <c r="P16" s="382">
        <f t="shared" si="9"/>
        <v>0</v>
      </c>
      <c r="R16" s="388">
        <f>O16-'Vérdepo (12)'!E7</f>
        <v>0</v>
      </c>
      <c r="S16" s="377">
        <f t="shared" si="10"/>
        <v>0</v>
      </c>
      <c r="U16" s="377">
        <v>30.42</v>
      </c>
      <c r="V16" s="420">
        <f t="shared" si="11"/>
        <v>1070.7840000000001</v>
      </c>
      <c r="W16" s="370">
        <f>O16</f>
        <v>35.200000000000003</v>
      </c>
      <c r="Y16" s="419"/>
      <c r="Z16" s="465" t="s">
        <v>1943</v>
      </c>
      <c r="AA16" s="463">
        <v>31</v>
      </c>
      <c r="AB16" s="424" t="s">
        <v>1833</v>
      </c>
    </row>
    <row r="17" spans="1:29" x14ac:dyDescent="0.25">
      <c r="A17" s="391" t="s">
        <v>1792</v>
      </c>
      <c r="B17" s="393" t="s">
        <v>1212</v>
      </c>
      <c r="C17" s="377">
        <f>'Traumatológia (13)'!E212</f>
        <v>2210.0599999999995</v>
      </c>
      <c r="D17" s="377">
        <f t="shared" si="0"/>
        <v>0</v>
      </c>
      <c r="E17" s="378">
        <f t="shared" si="4"/>
        <v>0</v>
      </c>
      <c r="F17" s="377">
        <f>'Traumatológia (13)'!E213</f>
        <v>0</v>
      </c>
      <c r="G17" s="377">
        <f t="shared" si="1"/>
        <v>0</v>
      </c>
      <c r="H17" s="379">
        <f t="shared" si="5"/>
        <v>0</v>
      </c>
      <c r="I17" s="377">
        <f>'Traumatológia (13)'!E214</f>
        <v>453.4</v>
      </c>
      <c r="J17" s="377">
        <f t="shared" si="2"/>
        <v>0</v>
      </c>
      <c r="K17" s="380">
        <f t="shared" si="6"/>
        <v>0</v>
      </c>
      <c r="L17" s="377">
        <f>'Traumatológia (13)'!E215</f>
        <v>0</v>
      </c>
      <c r="M17" s="377">
        <f t="shared" si="3"/>
        <v>0</v>
      </c>
      <c r="N17" s="381">
        <f t="shared" si="7"/>
        <v>0</v>
      </c>
      <c r="O17" s="377">
        <f t="shared" si="8"/>
        <v>2663.4599999999996</v>
      </c>
      <c r="P17" s="382">
        <f t="shared" si="9"/>
        <v>0</v>
      </c>
      <c r="R17" s="388">
        <f>O17-'Traumatológia (13)'!E209</f>
        <v>0</v>
      </c>
      <c r="S17" s="377">
        <f t="shared" si="10"/>
        <v>0</v>
      </c>
      <c r="U17" s="377">
        <v>30.42</v>
      </c>
      <c r="V17" s="420">
        <f t="shared" si="11"/>
        <v>81022.453199999989</v>
      </c>
      <c r="W17" s="370">
        <f>O17</f>
        <v>2663.4599999999996</v>
      </c>
      <c r="Y17" s="419"/>
      <c r="Z17" s="465" t="s">
        <v>1944</v>
      </c>
      <c r="AA17" s="463">
        <v>30</v>
      </c>
      <c r="AB17" s="424" t="s">
        <v>1833</v>
      </c>
    </row>
    <row r="18" spans="1:29" x14ac:dyDescent="0.25">
      <c r="A18" s="391" t="s">
        <v>1793</v>
      </c>
      <c r="B18" s="393" t="s">
        <v>1262</v>
      </c>
      <c r="C18" s="377">
        <f>'Trauma intenzív (14)'!E54</f>
        <v>0</v>
      </c>
      <c r="D18" s="377">
        <f t="shared" si="0"/>
        <v>0</v>
      </c>
      <c r="E18" s="378">
        <f t="shared" si="4"/>
        <v>0</v>
      </c>
      <c r="F18" s="377">
        <f>'Trauma intenzív (14)'!E55</f>
        <v>521.49999999999989</v>
      </c>
      <c r="G18" s="377">
        <f t="shared" si="1"/>
        <v>0</v>
      </c>
      <c r="H18" s="379">
        <f t="shared" si="5"/>
        <v>0</v>
      </c>
      <c r="I18" s="377">
        <f>'Trauma intenzív (14)'!E56</f>
        <v>111.9</v>
      </c>
      <c r="J18" s="377">
        <f t="shared" si="2"/>
        <v>0</v>
      </c>
      <c r="K18" s="380">
        <f t="shared" si="6"/>
        <v>0</v>
      </c>
      <c r="L18" s="377">
        <f>'Trauma intenzív (14)'!E57</f>
        <v>0</v>
      </c>
      <c r="M18" s="377">
        <f t="shared" si="3"/>
        <v>0</v>
      </c>
      <c r="N18" s="381">
        <f t="shared" si="7"/>
        <v>0</v>
      </c>
      <c r="O18" s="377">
        <f t="shared" si="8"/>
        <v>633.39999999999986</v>
      </c>
      <c r="P18" s="382">
        <f t="shared" si="9"/>
        <v>0</v>
      </c>
      <c r="R18" s="388">
        <f>O18-'Trauma intenzív (14)'!E51</f>
        <v>0</v>
      </c>
      <c r="S18" s="377">
        <f t="shared" si="10"/>
        <v>0</v>
      </c>
      <c r="U18" s="377">
        <v>30.42</v>
      </c>
      <c r="V18" s="420">
        <f t="shared" si="11"/>
        <v>19268.027999999998</v>
      </c>
      <c r="W18" s="370">
        <f>O18</f>
        <v>633.39999999999986</v>
      </c>
      <c r="Y18" s="419"/>
      <c r="Z18" s="465" t="s">
        <v>1945</v>
      </c>
      <c r="AA18" s="463">
        <v>31</v>
      </c>
      <c r="AB18" s="424" t="s">
        <v>1833</v>
      </c>
    </row>
    <row r="19" spans="1:29" x14ac:dyDescent="0.25">
      <c r="A19" s="391" t="s">
        <v>1794</v>
      </c>
      <c r="B19" s="393" t="s">
        <v>1819</v>
      </c>
      <c r="C19" s="377">
        <f>'KKT GÜI (15)'!E35</f>
        <v>1.8</v>
      </c>
      <c r="D19" s="377">
        <f t="shared" si="0"/>
        <v>0</v>
      </c>
      <c r="E19" s="378">
        <f t="shared" si="4"/>
        <v>0</v>
      </c>
      <c r="F19" s="377">
        <f>'KKT GÜI (15)'!E36</f>
        <v>0</v>
      </c>
      <c r="G19" s="377">
        <f t="shared" si="1"/>
        <v>0</v>
      </c>
      <c r="H19" s="379">
        <f t="shared" si="5"/>
        <v>0</v>
      </c>
      <c r="I19" s="377">
        <f>'KKT GÜI (15)'!E37</f>
        <v>342.9</v>
      </c>
      <c r="J19" s="377">
        <f t="shared" si="2"/>
        <v>0</v>
      </c>
      <c r="K19" s="380">
        <f t="shared" si="6"/>
        <v>0</v>
      </c>
      <c r="L19" s="377">
        <f>'KKT GÜI (15)'!E38</f>
        <v>0</v>
      </c>
      <c r="M19" s="377">
        <f t="shared" si="3"/>
        <v>0</v>
      </c>
      <c r="N19" s="381">
        <f t="shared" si="7"/>
        <v>0</v>
      </c>
      <c r="O19" s="377">
        <f t="shared" si="8"/>
        <v>344.7</v>
      </c>
      <c r="P19" s="382">
        <f t="shared" si="9"/>
        <v>0</v>
      </c>
      <c r="R19" s="388">
        <f>O19-'KKT GÜI (15)'!E32</f>
        <v>0</v>
      </c>
      <c r="S19" s="377">
        <f t="shared" si="10"/>
        <v>0</v>
      </c>
      <c r="U19" s="377">
        <v>21</v>
      </c>
      <c r="V19" s="420">
        <f t="shared" si="11"/>
        <v>7238.7</v>
      </c>
      <c r="Y19" s="419"/>
      <c r="Z19" s="465" t="s">
        <v>1946</v>
      </c>
      <c r="AA19" s="463">
        <v>31</v>
      </c>
      <c r="AB19" s="424" t="s">
        <v>1833</v>
      </c>
    </row>
    <row r="20" spans="1:29" x14ac:dyDescent="0.25">
      <c r="A20" s="391" t="s">
        <v>1795</v>
      </c>
      <c r="B20" s="393" t="s">
        <v>1437</v>
      </c>
      <c r="C20" s="377">
        <f>'Központi műtők (16)'!E138</f>
        <v>0</v>
      </c>
      <c r="D20" s="377">
        <f t="shared" si="0"/>
        <v>0</v>
      </c>
      <c r="E20" s="378">
        <f t="shared" si="4"/>
        <v>0</v>
      </c>
      <c r="F20" s="377">
        <f>'Központi műtők (16)'!E139</f>
        <v>2363.6999999999985</v>
      </c>
      <c r="G20" s="377">
        <f t="shared" si="1"/>
        <v>0</v>
      </c>
      <c r="H20" s="379">
        <f t="shared" si="5"/>
        <v>0</v>
      </c>
      <c r="I20" s="377">
        <f>'Központi műtők (16)'!E140</f>
        <v>0</v>
      </c>
      <c r="J20" s="377">
        <f t="shared" si="2"/>
        <v>0</v>
      </c>
      <c r="K20" s="380">
        <f t="shared" si="6"/>
        <v>0</v>
      </c>
      <c r="L20" s="377">
        <f>'Központi műtők (16)'!E141</f>
        <v>0</v>
      </c>
      <c r="M20" s="377">
        <f t="shared" si="3"/>
        <v>0</v>
      </c>
      <c r="N20" s="381">
        <f t="shared" si="7"/>
        <v>0</v>
      </c>
      <c r="O20" s="377">
        <f t="shared" si="8"/>
        <v>2363.6999999999985</v>
      </c>
      <c r="P20" s="382">
        <f t="shared" si="9"/>
        <v>0</v>
      </c>
      <c r="R20" s="388">
        <f>O20-'Központi műtők (16)'!E135</f>
        <v>0</v>
      </c>
      <c r="S20" s="377">
        <f t="shared" si="10"/>
        <v>0</v>
      </c>
      <c r="U20" s="377">
        <v>30.42</v>
      </c>
      <c r="V20" s="420">
        <f t="shared" si="11"/>
        <v>71903.753999999957</v>
      </c>
      <c r="W20" s="370">
        <f>O20</f>
        <v>2363.6999999999985</v>
      </c>
      <c r="Y20" s="419"/>
      <c r="Z20" s="465" t="s">
        <v>1950</v>
      </c>
      <c r="AA20" s="463">
        <v>30</v>
      </c>
      <c r="AB20" s="424" t="s">
        <v>1833</v>
      </c>
    </row>
    <row r="21" spans="1:29" x14ac:dyDescent="0.25">
      <c r="A21" s="391" t="s">
        <v>1796</v>
      </c>
      <c r="B21" s="393" t="s">
        <v>126</v>
      </c>
      <c r="C21" s="377">
        <f>'Női klinika (17)'!E141</f>
        <v>1495.93</v>
      </c>
      <c r="D21" s="377">
        <f t="shared" si="0"/>
        <v>0</v>
      </c>
      <c r="E21" s="378">
        <f t="shared" si="4"/>
        <v>0</v>
      </c>
      <c r="F21" s="377">
        <f>'Női klinika (17)'!E142</f>
        <v>1.2</v>
      </c>
      <c r="G21" s="377">
        <f t="shared" si="1"/>
        <v>0</v>
      </c>
      <c r="H21" s="379">
        <f t="shared" si="5"/>
        <v>0</v>
      </c>
      <c r="I21" s="377">
        <f>'Női klinika (17)'!E143</f>
        <v>1128.4050000000002</v>
      </c>
      <c r="J21" s="377">
        <f t="shared" si="2"/>
        <v>0</v>
      </c>
      <c r="K21" s="380">
        <f t="shared" si="6"/>
        <v>0</v>
      </c>
      <c r="L21" s="377">
        <f>'Női klinika (17)'!E144</f>
        <v>0</v>
      </c>
      <c r="M21" s="377">
        <f t="shared" si="3"/>
        <v>0</v>
      </c>
      <c r="N21" s="381">
        <f t="shared" si="7"/>
        <v>0</v>
      </c>
      <c r="O21" s="377">
        <f t="shared" si="8"/>
        <v>2625.5350000000003</v>
      </c>
      <c r="P21" s="382">
        <f t="shared" si="9"/>
        <v>0</v>
      </c>
      <c r="R21" s="388">
        <f>O21-'Női klinika (17)'!E138</f>
        <v>0</v>
      </c>
      <c r="S21" s="377">
        <f t="shared" si="10"/>
        <v>0</v>
      </c>
      <c r="U21" s="377">
        <v>30.42</v>
      </c>
      <c r="V21" s="420">
        <f t="shared" si="11"/>
        <v>79868.774700000009</v>
      </c>
      <c r="W21" s="370">
        <f>O21</f>
        <v>2625.5350000000003</v>
      </c>
      <c r="Y21" s="419"/>
      <c r="Z21" s="465" t="s">
        <v>1947</v>
      </c>
      <c r="AA21" s="463">
        <v>31</v>
      </c>
      <c r="AB21" s="424" t="s">
        <v>1833</v>
      </c>
    </row>
    <row r="22" spans="1:29" x14ac:dyDescent="0.25">
      <c r="A22" s="602" t="s">
        <v>1822</v>
      </c>
      <c r="B22" s="603"/>
      <c r="C22" s="383">
        <f>SUM(C7:C21)</f>
        <v>7127.17</v>
      </c>
      <c r="D22" s="383">
        <f t="shared" si="0"/>
        <v>0</v>
      </c>
      <c r="E22" s="372">
        <f>SUM(E7:E21)</f>
        <v>0</v>
      </c>
      <c r="F22" s="384">
        <f>SUM(F7:F21)</f>
        <v>5446.7999999999984</v>
      </c>
      <c r="G22" s="384">
        <f t="shared" si="1"/>
        <v>0</v>
      </c>
      <c r="H22" s="373">
        <f>SUM(H7:H21)</f>
        <v>0</v>
      </c>
      <c r="I22" s="385">
        <f>SUM(I7:I21)</f>
        <v>3505.8850000000002</v>
      </c>
      <c r="J22" s="385">
        <f t="shared" si="2"/>
        <v>0</v>
      </c>
      <c r="K22" s="374">
        <f>SUM(K7:K21)</f>
        <v>0</v>
      </c>
      <c r="L22" s="386">
        <f>SUM(L7:L21)</f>
        <v>123.71000000000001</v>
      </c>
      <c r="M22" s="386">
        <f t="shared" si="3"/>
        <v>0</v>
      </c>
      <c r="N22" s="375">
        <f>SUM(N7:N21)</f>
        <v>0</v>
      </c>
      <c r="O22" s="387">
        <f>SUM(O7:O21)</f>
        <v>16203.565000000001</v>
      </c>
      <c r="P22" s="376">
        <f>SUM(P7:P21)</f>
        <v>0</v>
      </c>
      <c r="S22" s="387">
        <f>P22/O22/U22</f>
        <v>0</v>
      </c>
      <c r="U22" s="377">
        <f>SUM(V7:V21)/O22</f>
        <v>28.388122842102955</v>
      </c>
      <c r="V22" s="420"/>
      <c r="Y22" s="419"/>
      <c r="Z22" s="465" t="s">
        <v>1948</v>
      </c>
      <c r="AA22" s="463">
        <v>30</v>
      </c>
      <c r="AB22" s="424" t="s">
        <v>1833</v>
      </c>
    </row>
    <row r="23" spans="1:29" x14ac:dyDescent="0.25">
      <c r="A23" s="604" t="s">
        <v>1806</v>
      </c>
      <c r="B23" s="605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6"/>
      <c r="S23" s="377"/>
      <c r="U23" s="463"/>
      <c r="V23" s="420"/>
      <c r="Y23" s="419"/>
      <c r="Z23" s="465" t="s">
        <v>1949</v>
      </c>
      <c r="AA23" s="463">
        <v>31</v>
      </c>
      <c r="AB23" s="424" t="s">
        <v>1833</v>
      </c>
    </row>
    <row r="24" spans="1:29" x14ac:dyDescent="0.25">
      <c r="A24" s="391" t="s">
        <v>1797</v>
      </c>
      <c r="B24" s="394" t="s">
        <v>1804</v>
      </c>
      <c r="C24" s="377">
        <f>'K-Közlekedő (18)'!E102</f>
        <v>53.900000000000006</v>
      </c>
      <c r="D24" s="377">
        <f t="shared" ref="D24:D33" si="12">$C$39</f>
        <v>0</v>
      </c>
      <c r="E24" s="378">
        <f t="shared" ref="E24:E32" si="13">C24*D24*U24</f>
        <v>0</v>
      </c>
      <c r="F24" s="377">
        <f>'K-Közlekedő (18)'!E103</f>
        <v>0</v>
      </c>
      <c r="G24" s="377">
        <f t="shared" ref="G24:G33" si="14">$C$40</f>
        <v>0</v>
      </c>
      <c r="H24" s="379">
        <f t="shared" ref="H24:H32" si="15">F24*G24*U24</f>
        <v>0</v>
      </c>
      <c r="I24" s="377">
        <f>'K-Közlekedő (18)'!E104</f>
        <v>3474.9300000000003</v>
      </c>
      <c r="J24" s="377">
        <f t="shared" ref="J24:J33" si="16">$C$41</f>
        <v>0</v>
      </c>
      <c r="K24" s="380">
        <f t="shared" ref="K24:K32" si="17">I24*J24*U24</f>
        <v>0</v>
      </c>
      <c r="L24" s="377">
        <f>'K-Közlekedő (18)'!E105</f>
        <v>118.4</v>
      </c>
      <c r="M24" s="377">
        <f t="shared" ref="M24:M33" si="18">$C$42</f>
        <v>0</v>
      </c>
      <c r="N24" s="381">
        <f t="shared" ref="N24:N32" si="19">L24*M24*U24</f>
        <v>0</v>
      </c>
      <c r="O24" s="377">
        <f t="shared" ref="O24:O32" si="20">C24+F24+I24+L24</f>
        <v>3647.2300000000005</v>
      </c>
      <c r="P24" s="382">
        <f t="shared" ref="P24:P32" si="21">E24+H24+K24+N24</f>
        <v>0</v>
      </c>
      <c r="R24" s="388">
        <f>O24-'K-Közlekedő (18)'!E99</f>
        <v>0</v>
      </c>
      <c r="S24" s="377">
        <f>P24/O24/U24</f>
        <v>0</v>
      </c>
      <c r="U24" s="377">
        <v>30.42</v>
      </c>
      <c r="V24" s="420">
        <f t="shared" ref="V24:V32" si="22">U24*O24</f>
        <v>110948.73660000002</v>
      </c>
      <c r="W24" s="370">
        <f>O24</f>
        <v>3647.2300000000005</v>
      </c>
      <c r="Y24" s="421" t="s">
        <v>1951</v>
      </c>
      <c r="Z24" s="485"/>
      <c r="AA24" s="488">
        <f>SUM(AA12:AA23)/12</f>
        <v>30.416666666666668</v>
      </c>
      <c r="AB24" s="422" t="s">
        <v>1833</v>
      </c>
    </row>
    <row r="25" spans="1:29" x14ac:dyDescent="0.25">
      <c r="A25" s="391" t="s">
        <v>1798</v>
      </c>
      <c r="B25" s="394" t="s">
        <v>1811</v>
      </c>
      <c r="C25" s="377">
        <f>'K-Raktár (19)'!E35</f>
        <v>104.1</v>
      </c>
      <c r="D25" s="377">
        <f t="shared" si="12"/>
        <v>0</v>
      </c>
      <c r="E25" s="378">
        <f t="shared" si="13"/>
        <v>0</v>
      </c>
      <c r="F25" s="377">
        <v>0</v>
      </c>
      <c r="G25" s="377">
        <f t="shared" si="14"/>
        <v>0</v>
      </c>
      <c r="H25" s="379">
        <f t="shared" si="15"/>
        <v>0</v>
      </c>
      <c r="I25" s="377">
        <f>'K-Raktár (19)'!E37</f>
        <v>56.5</v>
      </c>
      <c r="J25" s="377">
        <f t="shared" si="16"/>
        <v>0</v>
      </c>
      <c r="K25" s="380">
        <f t="shared" si="17"/>
        <v>0</v>
      </c>
      <c r="L25" s="377">
        <f>'K-Raktár (19)'!E38</f>
        <v>230.7</v>
      </c>
      <c r="M25" s="377">
        <f t="shared" si="18"/>
        <v>0</v>
      </c>
      <c r="N25" s="381">
        <f t="shared" si="19"/>
        <v>0</v>
      </c>
      <c r="O25" s="377">
        <f t="shared" si="20"/>
        <v>391.29999999999995</v>
      </c>
      <c r="P25" s="382">
        <f t="shared" si="21"/>
        <v>0</v>
      </c>
      <c r="R25" s="388">
        <f>O25-'K-Raktár (19)'!E32</f>
        <v>0</v>
      </c>
      <c r="S25" s="377">
        <f t="shared" ref="S25:S32" si="23">P25/O25/U25</f>
        <v>0</v>
      </c>
      <c r="U25" s="377">
        <v>30.42</v>
      </c>
      <c r="V25" s="420">
        <f t="shared" si="22"/>
        <v>11903.346</v>
      </c>
      <c r="W25" s="370">
        <f>O25</f>
        <v>391.29999999999995</v>
      </c>
      <c r="Y25" s="428" t="s">
        <v>1953</v>
      </c>
      <c r="Z25" s="425"/>
      <c r="AA25" s="487">
        <v>256</v>
      </c>
      <c r="AB25" s="423" t="s">
        <v>1833</v>
      </c>
    </row>
    <row r="26" spans="1:29" x14ac:dyDescent="0.25">
      <c r="A26" s="391" t="s">
        <v>1799</v>
      </c>
      <c r="B26" s="394" t="s">
        <v>1812</v>
      </c>
      <c r="C26" s="377">
        <f>'K-Gépészet (20)'!E31</f>
        <v>0</v>
      </c>
      <c r="D26" s="377">
        <f t="shared" si="12"/>
        <v>0</v>
      </c>
      <c r="E26" s="378">
        <f t="shared" si="13"/>
        <v>0</v>
      </c>
      <c r="F26" s="377">
        <f>'K-Gépészet (20)'!E32</f>
        <v>0</v>
      </c>
      <c r="G26" s="377">
        <f t="shared" si="14"/>
        <v>0</v>
      </c>
      <c r="H26" s="379">
        <f t="shared" si="15"/>
        <v>0</v>
      </c>
      <c r="I26" s="377">
        <f>'K-Gépészet (20)'!E33</f>
        <v>0</v>
      </c>
      <c r="J26" s="377">
        <f t="shared" si="16"/>
        <v>0</v>
      </c>
      <c r="K26" s="380">
        <f t="shared" si="17"/>
        <v>0</v>
      </c>
      <c r="L26" s="377">
        <f>'K-Gépészet (20)'!E34</f>
        <v>1408</v>
      </c>
      <c r="M26" s="377">
        <f t="shared" si="18"/>
        <v>0</v>
      </c>
      <c r="N26" s="381">
        <f t="shared" si="19"/>
        <v>0</v>
      </c>
      <c r="O26" s="377">
        <f t="shared" si="20"/>
        <v>1408</v>
      </c>
      <c r="P26" s="382">
        <f t="shared" si="21"/>
        <v>0</v>
      </c>
      <c r="R26" s="388">
        <f>O26-'K-Gépészet (20)'!E28</f>
        <v>0</v>
      </c>
      <c r="S26" s="377">
        <f t="shared" si="23"/>
        <v>0</v>
      </c>
      <c r="U26" s="377">
        <v>1</v>
      </c>
      <c r="V26" s="420">
        <f t="shared" si="22"/>
        <v>1408</v>
      </c>
      <c r="Y26" s="419" t="s">
        <v>1952</v>
      </c>
      <c r="Z26" s="426"/>
      <c r="AA26" s="463">
        <v>5</v>
      </c>
      <c r="AB26" s="424" t="s">
        <v>1833</v>
      </c>
    </row>
    <row r="27" spans="1:29" x14ac:dyDescent="0.25">
      <c r="A27" s="391" t="s">
        <v>1800</v>
      </c>
      <c r="B27" s="394" t="s">
        <v>1813</v>
      </c>
      <c r="C27" s="377">
        <f>'K-Öltözők (21)'!E53</f>
        <v>0</v>
      </c>
      <c r="D27" s="377">
        <f t="shared" si="12"/>
        <v>0</v>
      </c>
      <c r="E27" s="378">
        <f t="shared" si="13"/>
        <v>0</v>
      </c>
      <c r="F27" s="377">
        <f>'K-Öltözők (21)'!E54</f>
        <v>0</v>
      </c>
      <c r="G27" s="377">
        <f t="shared" si="14"/>
        <v>0</v>
      </c>
      <c r="H27" s="379">
        <f t="shared" si="15"/>
        <v>0</v>
      </c>
      <c r="I27" s="377">
        <f>'K-Öltözők (21)'!E55</f>
        <v>361.9</v>
      </c>
      <c r="J27" s="377">
        <f t="shared" si="16"/>
        <v>0</v>
      </c>
      <c r="K27" s="380">
        <f t="shared" si="17"/>
        <v>0</v>
      </c>
      <c r="L27" s="377">
        <f>'K-Öltözők (21)'!E56</f>
        <v>0</v>
      </c>
      <c r="M27" s="377">
        <f t="shared" si="18"/>
        <v>0</v>
      </c>
      <c r="N27" s="381">
        <f t="shared" si="19"/>
        <v>0</v>
      </c>
      <c r="O27" s="377">
        <f t="shared" si="20"/>
        <v>361.9</v>
      </c>
      <c r="P27" s="382">
        <f t="shared" si="21"/>
        <v>0</v>
      </c>
      <c r="R27" s="388">
        <f>O27-'K-Öltözők (21)'!E50</f>
        <v>0</v>
      </c>
      <c r="S27" s="377">
        <f t="shared" si="23"/>
        <v>0</v>
      </c>
      <c r="U27" s="377">
        <v>30.42</v>
      </c>
      <c r="V27" s="420">
        <f t="shared" si="22"/>
        <v>11008.998</v>
      </c>
      <c r="W27" s="370">
        <f>O27</f>
        <v>361.9</v>
      </c>
      <c r="Y27" s="421" t="s">
        <v>1954</v>
      </c>
      <c r="Z27" s="427"/>
      <c r="AA27" s="488">
        <f>(AA25-AA26)/12</f>
        <v>20.916666666666668</v>
      </c>
      <c r="AB27" s="422" t="s">
        <v>1833</v>
      </c>
      <c r="AC27" s="370">
        <v>21</v>
      </c>
    </row>
    <row r="28" spans="1:29" x14ac:dyDescent="0.25">
      <c r="A28" s="391" t="s">
        <v>1801</v>
      </c>
      <c r="B28" s="394" t="s">
        <v>1814</v>
      </c>
      <c r="C28" s="377">
        <f>'K-Takarítás (22)'!E17</f>
        <v>0</v>
      </c>
      <c r="D28" s="377">
        <f t="shared" si="12"/>
        <v>0</v>
      </c>
      <c r="E28" s="378">
        <f t="shared" si="13"/>
        <v>0</v>
      </c>
      <c r="F28" s="377">
        <f>'K-Takarítás (22)'!E18</f>
        <v>0</v>
      </c>
      <c r="G28" s="377">
        <f t="shared" si="14"/>
        <v>0</v>
      </c>
      <c r="H28" s="379">
        <f t="shared" si="15"/>
        <v>0</v>
      </c>
      <c r="I28" s="377">
        <f>'K-Takarítás (22)'!E19</f>
        <v>0</v>
      </c>
      <c r="J28" s="377">
        <f t="shared" si="16"/>
        <v>0</v>
      </c>
      <c r="K28" s="380">
        <f t="shared" si="17"/>
        <v>0</v>
      </c>
      <c r="L28" s="377">
        <f>'K-Takarítás (22)'!E20</f>
        <v>0</v>
      </c>
      <c r="M28" s="377">
        <f t="shared" si="18"/>
        <v>0</v>
      </c>
      <c r="N28" s="381">
        <f t="shared" si="19"/>
        <v>0</v>
      </c>
      <c r="O28" s="377">
        <f t="shared" si="20"/>
        <v>0</v>
      </c>
      <c r="P28" s="382">
        <f t="shared" si="21"/>
        <v>0</v>
      </c>
      <c r="R28" s="388">
        <f>O28-'K-Takarítás (22)'!E14</f>
        <v>-34.4</v>
      </c>
      <c r="S28" s="377"/>
      <c r="U28" s="377">
        <v>30.42</v>
      </c>
      <c r="V28" s="420">
        <f t="shared" si="22"/>
        <v>0</v>
      </c>
      <c r="W28" s="370">
        <f>O28</f>
        <v>0</v>
      </c>
    </row>
    <row r="29" spans="1:29" x14ac:dyDescent="0.25">
      <c r="A29" s="391" t="s">
        <v>1802</v>
      </c>
      <c r="B29" s="394" t="s">
        <v>1815</v>
      </c>
      <c r="C29" s="377">
        <f>'K-Villamosság (23)'!E27</f>
        <v>0</v>
      </c>
      <c r="D29" s="377">
        <f t="shared" si="12"/>
        <v>0</v>
      </c>
      <c r="E29" s="378">
        <f t="shared" si="13"/>
        <v>0</v>
      </c>
      <c r="F29" s="377">
        <f>'K-Villamosság (23)'!E28</f>
        <v>0</v>
      </c>
      <c r="G29" s="377">
        <f t="shared" si="14"/>
        <v>0</v>
      </c>
      <c r="H29" s="379">
        <f t="shared" si="15"/>
        <v>0</v>
      </c>
      <c r="I29" s="377">
        <f>'K-Villamosság (23)'!E29</f>
        <v>20.6</v>
      </c>
      <c r="J29" s="377">
        <f t="shared" si="16"/>
        <v>0</v>
      </c>
      <c r="K29" s="380">
        <f t="shared" si="17"/>
        <v>0</v>
      </c>
      <c r="L29" s="377">
        <f>'K-Villamosság (23)'!E30</f>
        <v>186.9</v>
      </c>
      <c r="M29" s="377">
        <f t="shared" si="18"/>
        <v>0</v>
      </c>
      <c r="N29" s="381">
        <f t="shared" si="19"/>
        <v>0</v>
      </c>
      <c r="O29" s="377">
        <f t="shared" si="20"/>
        <v>207.5</v>
      </c>
      <c r="P29" s="382">
        <f t="shared" si="21"/>
        <v>0</v>
      </c>
      <c r="R29" s="388">
        <f>O29-'K-Villamosság (23)'!E24</f>
        <v>-35.100000000000023</v>
      </c>
      <c r="S29" s="377">
        <f t="shared" si="23"/>
        <v>0</v>
      </c>
      <c r="U29" s="377">
        <v>1</v>
      </c>
      <c r="V29" s="420">
        <f t="shared" si="22"/>
        <v>207.5</v>
      </c>
    </row>
    <row r="30" spans="1:29" x14ac:dyDescent="0.25">
      <c r="A30" s="391" t="s">
        <v>1803</v>
      </c>
      <c r="B30" s="394" t="s">
        <v>1816</v>
      </c>
      <c r="C30" s="377">
        <f>'K-Vizesblokk (24)'!E62</f>
        <v>103.05</v>
      </c>
      <c r="D30" s="377">
        <f t="shared" si="12"/>
        <v>0</v>
      </c>
      <c r="E30" s="378">
        <f t="shared" si="13"/>
        <v>0</v>
      </c>
      <c r="F30" s="377">
        <f>'K-Vizesblokk (24)'!E63</f>
        <v>0</v>
      </c>
      <c r="G30" s="377">
        <f t="shared" si="14"/>
        <v>0</v>
      </c>
      <c r="H30" s="379">
        <f t="shared" si="15"/>
        <v>0</v>
      </c>
      <c r="I30" s="377">
        <f>'K-Vizesblokk (24)'!E64</f>
        <v>40</v>
      </c>
      <c r="J30" s="377">
        <f t="shared" si="16"/>
        <v>0</v>
      </c>
      <c r="K30" s="380">
        <f t="shared" si="17"/>
        <v>0</v>
      </c>
      <c r="L30" s="377">
        <f>'K-Vizesblokk (24)'!E65</f>
        <v>0</v>
      </c>
      <c r="M30" s="377">
        <f t="shared" si="18"/>
        <v>0</v>
      </c>
      <c r="N30" s="381">
        <f t="shared" si="19"/>
        <v>0</v>
      </c>
      <c r="O30" s="377">
        <f t="shared" si="20"/>
        <v>143.05000000000001</v>
      </c>
      <c r="P30" s="382">
        <f t="shared" si="21"/>
        <v>0</v>
      </c>
      <c r="R30" s="388">
        <f>O30-'K-Vizesblokk (24)'!E59</f>
        <v>0</v>
      </c>
      <c r="S30" s="377">
        <f t="shared" si="23"/>
        <v>0</v>
      </c>
      <c r="U30" s="377">
        <v>30.42</v>
      </c>
      <c r="V30" s="420">
        <f t="shared" si="22"/>
        <v>4351.581000000001</v>
      </c>
      <c r="W30" s="370">
        <f>O30</f>
        <v>143.05000000000001</v>
      </c>
    </row>
    <row r="31" spans="1:29" x14ac:dyDescent="0.25">
      <c r="A31" s="391" t="s">
        <v>2029</v>
      </c>
      <c r="B31" s="394" t="s">
        <v>1817</v>
      </c>
      <c r="C31" s="377">
        <f>'K-Hulladék (25)'!E11</f>
        <v>0</v>
      </c>
      <c r="D31" s="377">
        <f t="shared" si="12"/>
        <v>0</v>
      </c>
      <c r="E31" s="378">
        <f t="shared" si="13"/>
        <v>0</v>
      </c>
      <c r="F31" s="377">
        <f>'K-Hulladék (25)'!E12</f>
        <v>0</v>
      </c>
      <c r="G31" s="377">
        <f t="shared" si="14"/>
        <v>0</v>
      </c>
      <c r="H31" s="379">
        <f t="shared" si="15"/>
        <v>0</v>
      </c>
      <c r="I31" s="377">
        <f>'K-Hulladék (25)'!E13</f>
        <v>0</v>
      </c>
      <c r="J31" s="377">
        <f t="shared" si="16"/>
        <v>0</v>
      </c>
      <c r="K31" s="380">
        <f t="shared" si="17"/>
        <v>0</v>
      </c>
      <c r="L31" s="377">
        <f>'K-Hulladék (25)'!E14</f>
        <v>26.200000000000003</v>
      </c>
      <c r="M31" s="377">
        <f t="shared" si="18"/>
        <v>0</v>
      </c>
      <c r="N31" s="381">
        <f t="shared" si="19"/>
        <v>0</v>
      </c>
      <c r="O31" s="377">
        <f t="shared" si="20"/>
        <v>26.200000000000003</v>
      </c>
      <c r="P31" s="382">
        <f t="shared" si="21"/>
        <v>0</v>
      </c>
      <c r="R31" s="388">
        <f>O31-'K-Hulladék (25)'!E8</f>
        <v>0</v>
      </c>
      <c r="S31" s="377">
        <f t="shared" si="23"/>
        <v>0</v>
      </c>
      <c r="U31" s="377">
        <v>30.42</v>
      </c>
      <c r="V31" s="420">
        <f t="shared" si="22"/>
        <v>797.00400000000013</v>
      </c>
      <c r="W31" s="370">
        <f>O31</f>
        <v>26.200000000000003</v>
      </c>
    </row>
    <row r="32" spans="1:29" x14ac:dyDescent="0.25">
      <c r="A32" s="391" t="s">
        <v>2030</v>
      </c>
      <c r="B32" s="395" t="s">
        <v>1818</v>
      </c>
      <c r="C32" s="377">
        <f>'K-Egyéb (26)'!E34</f>
        <v>2.2999999999999998</v>
      </c>
      <c r="D32" s="377">
        <f t="shared" si="12"/>
        <v>0</v>
      </c>
      <c r="E32" s="378">
        <f t="shared" si="13"/>
        <v>0</v>
      </c>
      <c r="F32" s="377">
        <f>'K-Egyéb (26)'!E35</f>
        <v>0</v>
      </c>
      <c r="G32" s="377">
        <f t="shared" si="14"/>
        <v>0</v>
      </c>
      <c r="H32" s="379">
        <f t="shared" si="15"/>
        <v>0</v>
      </c>
      <c r="I32" s="377">
        <f>'K-Egyéb (26)'!E36</f>
        <v>527.70000000000005</v>
      </c>
      <c r="J32" s="377">
        <f t="shared" si="16"/>
        <v>0</v>
      </c>
      <c r="K32" s="380">
        <f t="shared" si="17"/>
        <v>0</v>
      </c>
      <c r="L32" s="377">
        <f>'K-Egyéb (26)'!E37</f>
        <v>0</v>
      </c>
      <c r="M32" s="377">
        <f t="shared" si="18"/>
        <v>0</v>
      </c>
      <c r="N32" s="381">
        <f t="shared" si="19"/>
        <v>0</v>
      </c>
      <c r="O32" s="377">
        <f t="shared" si="20"/>
        <v>530</v>
      </c>
      <c r="P32" s="382">
        <f t="shared" si="21"/>
        <v>0</v>
      </c>
      <c r="R32" s="388">
        <f>O32-'K-Egyéb (26)'!E31</f>
        <v>0</v>
      </c>
      <c r="S32" s="377">
        <f t="shared" si="23"/>
        <v>0</v>
      </c>
      <c r="U32" s="377">
        <v>21</v>
      </c>
      <c r="V32" s="420">
        <f t="shared" si="22"/>
        <v>11130</v>
      </c>
    </row>
    <row r="33" spans="1:28" x14ac:dyDescent="0.25">
      <c r="A33" s="602" t="s">
        <v>1823</v>
      </c>
      <c r="B33" s="607"/>
      <c r="C33" s="383">
        <f>SUM(C24:C32)</f>
        <v>263.35000000000002</v>
      </c>
      <c r="D33" s="383">
        <f t="shared" si="12"/>
        <v>0</v>
      </c>
      <c r="E33" s="372">
        <f>SUM(E24:E32)</f>
        <v>0</v>
      </c>
      <c r="F33" s="384">
        <f>SUM(F24:F32)</f>
        <v>0</v>
      </c>
      <c r="G33" s="384">
        <f t="shared" si="14"/>
        <v>0</v>
      </c>
      <c r="H33" s="379">
        <f>SUM(H24:H32)</f>
        <v>0</v>
      </c>
      <c r="I33" s="385">
        <f>SUM(I24:I32)</f>
        <v>4481.63</v>
      </c>
      <c r="J33" s="385">
        <f t="shared" si="16"/>
        <v>0</v>
      </c>
      <c r="K33" s="374">
        <f>SUM(K24:K32)</f>
        <v>0</v>
      </c>
      <c r="L33" s="386">
        <f>SUM(L24:L32)</f>
        <v>1970.2</v>
      </c>
      <c r="M33" s="386">
        <f t="shared" si="18"/>
        <v>0</v>
      </c>
      <c r="N33" s="375">
        <f>SUM(N24:N32)</f>
        <v>0</v>
      </c>
      <c r="O33" s="387">
        <f t="shared" ref="O33:P33" si="24">SUM(O24:O32)</f>
        <v>6715.18</v>
      </c>
      <c r="P33" s="376">
        <f t="shared" si="24"/>
        <v>0</v>
      </c>
      <c r="S33" s="387">
        <f>P33/O33/U33</f>
        <v>0</v>
      </c>
      <c r="U33" s="377">
        <f>SUM(V24:V32)/O33</f>
        <v>22.598823203547784</v>
      </c>
      <c r="V33" s="420"/>
    </row>
    <row r="34" spans="1:28" ht="6.75" customHeight="1" x14ac:dyDescent="0.25">
      <c r="A34" s="579"/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580"/>
      <c r="Q34" s="441"/>
      <c r="R34" s="442"/>
      <c r="S34" s="440"/>
      <c r="U34" s="377"/>
      <c r="V34" s="420"/>
    </row>
    <row r="35" spans="1:28" x14ac:dyDescent="0.25">
      <c r="A35" s="609" t="s">
        <v>1550</v>
      </c>
      <c r="B35" s="610"/>
      <c r="C35" s="372">
        <f>C22+C33</f>
        <v>7390.52</v>
      </c>
      <c r="D35" s="372">
        <f>$C$39</f>
        <v>0</v>
      </c>
      <c r="E35" s="406">
        <f>E22+E33</f>
        <v>0</v>
      </c>
      <c r="F35" s="373">
        <f>F22+F33</f>
        <v>5446.7999999999984</v>
      </c>
      <c r="G35" s="373">
        <f>$C$40</f>
        <v>0</v>
      </c>
      <c r="H35" s="404">
        <f>H22+H33</f>
        <v>0</v>
      </c>
      <c r="I35" s="374">
        <f>I22+I33</f>
        <v>7987.5150000000003</v>
      </c>
      <c r="J35" s="374">
        <f>$C$41</f>
        <v>0</v>
      </c>
      <c r="K35" s="405">
        <f>K22+K33</f>
        <v>0</v>
      </c>
      <c r="L35" s="375">
        <f>L22+L33</f>
        <v>2093.91</v>
      </c>
      <c r="M35" s="375">
        <f>$C$42</f>
        <v>0</v>
      </c>
      <c r="N35" s="407">
        <f>N22+N33</f>
        <v>0</v>
      </c>
      <c r="O35" s="376">
        <f>O22+O33</f>
        <v>22918.745000000003</v>
      </c>
      <c r="P35" s="403">
        <f>P22+P33</f>
        <v>0</v>
      </c>
      <c r="S35" s="409">
        <f>P35/O35/U35</f>
        <v>0</v>
      </c>
      <c r="U35" s="377">
        <f>(SUM(V7:V21)+SUM(V24:V32))/O35</f>
        <v>26.6918611512105</v>
      </c>
      <c r="V35" s="429"/>
      <c r="W35" s="370">
        <f>SUM(W7:W33)</f>
        <v>17278.165000000001</v>
      </c>
      <c r="X35" s="412">
        <f>W35/O35</f>
        <v>0.75388792012826178</v>
      </c>
      <c r="Y35" s="418" t="s">
        <v>1828</v>
      </c>
      <c r="Z35" s="484">
        <f>365-104-5</f>
        <v>256</v>
      </c>
      <c r="AA35" s="423" t="s">
        <v>1833</v>
      </c>
    </row>
    <row r="36" spans="1:28" s="529" customFormat="1" ht="16.5" customHeight="1" x14ac:dyDescent="0.25">
      <c r="A36" s="550" t="s">
        <v>1589</v>
      </c>
      <c r="B36" s="551" t="s">
        <v>2028</v>
      </c>
      <c r="C36" s="545"/>
      <c r="D36" s="545"/>
      <c r="E36" s="545"/>
      <c r="F36" s="545"/>
      <c r="G36" s="545"/>
      <c r="H36" s="545"/>
      <c r="I36" s="545"/>
      <c r="J36" s="545"/>
      <c r="K36" s="545"/>
      <c r="L36" s="545"/>
      <c r="M36" s="545"/>
      <c r="N36" s="545"/>
      <c r="O36" s="545"/>
      <c r="P36" s="545"/>
      <c r="R36" s="546"/>
      <c r="S36" s="545"/>
      <c r="Y36" s="547"/>
      <c r="Z36" s="548"/>
      <c r="AA36" s="549"/>
    </row>
    <row r="37" spans="1:28" x14ac:dyDescent="0.25">
      <c r="Y37" s="419" t="s">
        <v>1829</v>
      </c>
      <c r="Z37" s="465">
        <v>365</v>
      </c>
      <c r="AA37" s="424" t="s">
        <v>1833</v>
      </c>
    </row>
    <row r="38" spans="1:28" ht="15.75" thickBot="1" x14ac:dyDescent="0.3">
      <c r="A38" s="371"/>
      <c r="B38" s="371" t="s">
        <v>2027</v>
      </c>
      <c r="N38" s="612" t="s">
        <v>1836</v>
      </c>
      <c r="O38" s="612"/>
      <c r="P38" s="431">
        <f>$P$35*12</f>
        <v>0</v>
      </c>
      <c r="Q38" s="492"/>
      <c r="S38" s="430" t="s">
        <v>1825</v>
      </c>
      <c r="Y38" s="419" t="s">
        <v>1831</v>
      </c>
      <c r="Z38" s="465">
        <f>(Z35*(100%-X35)+Z37*X35)</f>
        <v>338.17378329398053</v>
      </c>
      <c r="AA38" s="424" t="s">
        <v>1833</v>
      </c>
    </row>
    <row r="39" spans="1:28" ht="17.25" customHeight="1" x14ac:dyDescent="0.25">
      <c r="A39" s="370"/>
      <c r="B39" s="466" t="s">
        <v>5</v>
      </c>
      <c r="C39" s="474">
        <v>0</v>
      </c>
      <c r="D39" s="467" t="s">
        <v>2074</v>
      </c>
      <c r="E39" s="613" t="s">
        <v>1843</v>
      </c>
      <c r="F39" s="614"/>
      <c r="G39" s="542" t="s">
        <v>5</v>
      </c>
      <c r="H39" s="436">
        <f>E35</f>
        <v>0</v>
      </c>
      <c r="I39" s="437" t="s">
        <v>1825</v>
      </c>
      <c r="N39" s="612" t="s">
        <v>1837</v>
      </c>
      <c r="O39" s="612"/>
      <c r="P39" s="431">
        <f>$P$38*4</f>
        <v>0</v>
      </c>
      <c r="S39" s="430" t="s">
        <v>1825</v>
      </c>
      <c r="Y39" s="421" t="s">
        <v>1830</v>
      </c>
      <c r="Z39" s="485">
        <f>Z38/12</f>
        <v>28.181148607831712</v>
      </c>
      <c r="AA39" s="422" t="s">
        <v>1832</v>
      </c>
    </row>
    <row r="40" spans="1:28" ht="17.25" x14ac:dyDescent="0.25">
      <c r="A40" s="371"/>
      <c r="B40" s="468" t="s">
        <v>37</v>
      </c>
      <c r="C40" s="475">
        <v>0</v>
      </c>
      <c r="D40" s="469" t="s">
        <v>2074</v>
      </c>
      <c r="E40" s="613"/>
      <c r="F40" s="614"/>
      <c r="G40" s="541" t="s">
        <v>37</v>
      </c>
      <c r="H40" s="432">
        <f>H35</f>
        <v>0</v>
      </c>
      <c r="I40" s="434" t="s">
        <v>1825</v>
      </c>
      <c r="N40" s="561"/>
      <c r="O40" s="561"/>
      <c r="P40" s="560"/>
      <c r="S40" s="430" t="s">
        <v>1825</v>
      </c>
      <c r="Y40" s="428" t="s">
        <v>1834</v>
      </c>
      <c r="Z40" s="484">
        <f>365-91</f>
        <v>274</v>
      </c>
      <c r="AA40" s="423" t="s">
        <v>1833</v>
      </c>
    </row>
    <row r="41" spans="1:28" ht="17.25" x14ac:dyDescent="0.25">
      <c r="A41" s="371"/>
      <c r="B41" s="470" t="s">
        <v>361</v>
      </c>
      <c r="C41" s="476">
        <v>0</v>
      </c>
      <c r="D41" s="471" t="s">
        <v>2074</v>
      </c>
      <c r="E41" s="613"/>
      <c r="F41" s="614"/>
      <c r="G41" s="543" t="s">
        <v>361</v>
      </c>
      <c r="H41" s="433">
        <f>K35</f>
        <v>0</v>
      </c>
      <c r="I41" s="435" t="s">
        <v>1825</v>
      </c>
      <c r="N41" s="443"/>
      <c r="O41" s="443"/>
      <c r="Y41" s="421" t="s">
        <v>1835</v>
      </c>
      <c r="Z41" s="486">
        <f>Z40/365</f>
        <v>0.75068493150684934</v>
      </c>
      <c r="AA41" s="429"/>
    </row>
    <row r="42" spans="1:28" ht="18" thickBot="1" x14ac:dyDescent="0.3">
      <c r="A42" s="371"/>
      <c r="B42" s="472" t="s">
        <v>229</v>
      </c>
      <c r="C42" s="477">
        <v>0</v>
      </c>
      <c r="D42" s="473" t="s">
        <v>2074</v>
      </c>
      <c r="E42" s="613"/>
      <c r="F42" s="614"/>
      <c r="G42" s="544" t="s">
        <v>229</v>
      </c>
      <c r="H42" s="438">
        <f>N35</f>
        <v>0</v>
      </c>
      <c r="I42" s="439" t="s">
        <v>1825</v>
      </c>
      <c r="N42" s="612" t="s">
        <v>1838</v>
      </c>
      <c r="O42" s="612"/>
      <c r="P42" s="431">
        <f>$P$38*1.27</f>
        <v>0</v>
      </c>
      <c r="S42" s="430" t="s">
        <v>1825</v>
      </c>
    </row>
    <row r="43" spans="1:28" x14ac:dyDescent="0.25">
      <c r="F43" s="417"/>
      <c r="N43" s="612" t="s">
        <v>1839</v>
      </c>
      <c r="O43" s="612"/>
      <c r="P43" s="431">
        <f>$P$39*1.27</f>
        <v>0</v>
      </c>
      <c r="S43" s="430" t="s">
        <v>1825</v>
      </c>
      <c r="Y43" s="465"/>
      <c r="Z43" s="465"/>
      <c r="AA43" s="463"/>
      <c r="AB43" s="463"/>
    </row>
    <row r="44" spans="1:28" x14ac:dyDescent="0.25">
      <c r="N44" s="561"/>
      <c r="O44" s="561"/>
      <c r="P44" s="560"/>
      <c r="S44" s="430" t="s">
        <v>1825</v>
      </c>
      <c r="Y44" s="483">
        <v>172545185</v>
      </c>
      <c r="Z44" s="465"/>
      <c r="AA44" s="464"/>
      <c r="AB44" s="463"/>
    </row>
    <row r="45" spans="1:28" x14ac:dyDescent="0.25">
      <c r="Y45" s="483">
        <f>Y44*Z41</f>
        <v>129527070.38356164</v>
      </c>
      <c r="Z45" s="465"/>
      <c r="AA45" s="464"/>
      <c r="AB45" s="463"/>
    </row>
    <row r="46" spans="1:28" x14ac:dyDescent="0.25">
      <c r="Y46" s="465"/>
      <c r="Z46" s="465"/>
      <c r="AA46" s="463"/>
      <c r="AB46" s="463"/>
    </row>
    <row r="49" spans="25:25" x14ac:dyDescent="0.25">
      <c r="Y49" s="479"/>
    </row>
    <row r="50" spans="25:25" x14ac:dyDescent="0.25">
      <c r="Y50" s="479"/>
    </row>
  </sheetData>
  <sheetProtection password="87E5" sheet="1" objects="1" scenarios="1"/>
  <protectedRanges>
    <protectedRange sqref="C39:C42" name="Tartomány1"/>
  </protectedRanges>
  <mergeCells count="23">
    <mergeCell ref="N43:O43"/>
    <mergeCell ref="E39:F42"/>
    <mergeCell ref="B4:B6"/>
    <mergeCell ref="A4:A6"/>
    <mergeCell ref="N38:O38"/>
    <mergeCell ref="N39:O39"/>
    <mergeCell ref="N42:O42"/>
    <mergeCell ref="A2:P2"/>
    <mergeCell ref="A23:P23"/>
    <mergeCell ref="C4:P4"/>
    <mergeCell ref="O5:P5"/>
    <mergeCell ref="U4:U6"/>
    <mergeCell ref="V4:V6"/>
    <mergeCell ref="A35:B35"/>
    <mergeCell ref="C5:E5"/>
    <mergeCell ref="F5:H5"/>
    <mergeCell ref="I5:K5"/>
    <mergeCell ref="L5:N5"/>
    <mergeCell ref="A22:B22"/>
    <mergeCell ref="A33:B33"/>
    <mergeCell ref="A34:P34"/>
    <mergeCell ref="S4:S6"/>
    <mergeCell ref="R4:R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90" zoomScaleNormal="90" workbookViewId="0">
      <pane xSplit="7" ySplit="4" topLeftCell="H17" activePane="bottomRight" state="frozen"/>
      <selection pane="topRight" activeCell="H1" sqref="H1"/>
      <selection pane="bottomLeft" activeCell="A5" sqref="A5"/>
      <selection pane="bottomRight" activeCell="E33" sqref="E33"/>
    </sheetView>
  </sheetViews>
  <sheetFormatPr defaultColWidth="8.85546875" defaultRowHeight="15" x14ac:dyDescent="0.25"/>
  <cols>
    <col min="1" max="1" width="5" style="65" bestFit="1" customWidth="1"/>
    <col min="2" max="2" width="7.42578125" style="65" customWidth="1"/>
    <col min="3" max="3" width="10.85546875" style="65" bestFit="1" customWidth="1"/>
    <col min="4" max="4" width="21.7109375" style="65" bestFit="1" customWidth="1"/>
    <col min="5" max="5" width="7.140625" style="346" bestFit="1" customWidth="1"/>
    <col min="6" max="6" width="3.7109375" style="65" bestFit="1" customWidth="1"/>
    <col min="7" max="7" width="11.42578125" style="65" customWidth="1"/>
    <col min="8" max="8" width="14.28515625" style="65" customWidth="1"/>
    <col min="9" max="9" width="11.7109375" style="65" customWidth="1"/>
    <col min="10" max="10" width="12.5703125" style="65" customWidth="1"/>
    <col min="11" max="11" width="20.7109375" style="65" customWidth="1"/>
    <col min="12" max="12" width="10.28515625" style="65" customWidth="1"/>
    <col min="13" max="13" width="7.7109375" style="65" customWidth="1"/>
    <col min="14" max="14" width="6" style="65" customWidth="1"/>
    <col min="15" max="15" width="5.5703125" style="65" customWidth="1"/>
    <col min="16" max="16" width="7" style="65" customWidth="1"/>
    <col min="17" max="17" width="7.42578125" style="65" customWidth="1"/>
    <col min="18" max="18" width="8.140625" style="65" customWidth="1"/>
    <col min="19" max="20" width="7.28515625" style="65" customWidth="1"/>
    <col min="21" max="21" width="7.85546875" style="65" customWidth="1"/>
    <col min="22" max="22" width="5.85546875" style="65" customWidth="1"/>
    <col min="23" max="23" width="7.28515625" style="65" customWidth="1"/>
    <col min="24" max="24" width="8.140625" style="65" customWidth="1"/>
    <col min="25" max="25" width="8.85546875" style="65" customWidth="1"/>
    <col min="26" max="16384" width="8.85546875" style="65"/>
  </cols>
  <sheetData>
    <row r="1" spans="1:25" customFormat="1" ht="15" customHeight="1" x14ac:dyDescent="0.25">
      <c r="A1" s="642" t="s">
        <v>434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2" t="s">
        <v>113</v>
      </c>
      <c r="J1" s="622" t="s">
        <v>114</v>
      </c>
      <c r="K1" s="622" t="s">
        <v>115</v>
      </c>
      <c r="L1" s="622" t="s">
        <v>1561</v>
      </c>
      <c r="M1" s="627" t="s">
        <v>116</v>
      </c>
      <c r="N1" s="628"/>
      <c r="O1" s="629"/>
      <c r="P1" s="636" t="s">
        <v>117</v>
      </c>
      <c r="Q1" s="622" t="s">
        <v>118</v>
      </c>
      <c r="R1" s="622" t="s">
        <v>1563</v>
      </c>
      <c r="S1" s="622" t="s">
        <v>120</v>
      </c>
      <c r="T1" s="622" t="s">
        <v>121</v>
      </c>
      <c r="U1" s="621" t="s">
        <v>122</v>
      </c>
      <c r="V1" s="621"/>
      <c r="W1" s="621"/>
      <c r="X1" s="621"/>
      <c r="Y1" s="616" t="s">
        <v>1513</v>
      </c>
    </row>
    <row r="2" spans="1:2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23"/>
      <c r="J2" s="623"/>
      <c r="K2" s="623"/>
      <c r="L2" s="623"/>
      <c r="M2" s="630"/>
      <c r="N2" s="631"/>
      <c r="O2" s="632"/>
      <c r="P2" s="637"/>
      <c r="Q2" s="623"/>
      <c r="R2" s="623"/>
      <c r="S2" s="623"/>
      <c r="T2" s="623"/>
      <c r="U2" s="619" t="s">
        <v>127</v>
      </c>
      <c r="V2" s="619"/>
      <c r="W2" s="619" t="s">
        <v>128</v>
      </c>
      <c r="X2" s="619"/>
      <c r="Y2" s="617"/>
    </row>
    <row r="3" spans="1:25" s="163" customFormat="1" x14ac:dyDescent="0.25">
      <c r="A3" s="646" t="s">
        <v>129</v>
      </c>
      <c r="B3" s="625" t="s">
        <v>130</v>
      </c>
      <c r="C3" s="625" t="s">
        <v>131</v>
      </c>
      <c r="D3" s="625" t="s">
        <v>132</v>
      </c>
      <c r="E3" s="625" t="s">
        <v>133</v>
      </c>
      <c r="F3" s="625"/>
      <c r="G3" s="619"/>
      <c r="H3" s="640"/>
      <c r="I3" s="623"/>
      <c r="J3" s="623"/>
      <c r="K3" s="623"/>
      <c r="L3" s="623"/>
      <c r="M3" s="630"/>
      <c r="N3" s="631"/>
      <c r="O3" s="632"/>
      <c r="P3" s="637"/>
      <c r="Q3" s="623"/>
      <c r="R3" s="623"/>
      <c r="S3" s="623"/>
      <c r="T3" s="623"/>
      <c r="U3" s="619" t="s">
        <v>134</v>
      </c>
      <c r="V3" s="619" t="s">
        <v>135</v>
      </c>
      <c r="W3" s="619" t="s">
        <v>136</v>
      </c>
      <c r="X3" s="619" t="s">
        <v>137</v>
      </c>
      <c r="Y3" s="617"/>
    </row>
    <row r="4" spans="1:25" customFormat="1" ht="15.75" thickBot="1" x14ac:dyDescent="0.3">
      <c r="A4" s="647"/>
      <c r="B4" s="626"/>
      <c r="C4" s="626"/>
      <c r="D4" s="626"/>
      <c r="E4" s="626"/>
      <c r="F4" s="626"/>
      <c r="G4" s="626"/>
      <c r="H4" s="641"/>
      <c r="I4" s="624"/>
      <c r="J4" s="624"/>
      <c r="K4" s="624"/>
      <c r="L4" s="624"/>
      <c r="M4" s="633"/>
      <c r="N4" s="634"/>
      <c r="O4" s="635"/>
      <c r="P4" s="638"/>
      <c r="Q4" s="624"/>
      <c r="R4" s="624"/>
      <c r="S4" s="624"/>
      <c r="T4" s="624"/>
      <c r="U4" s="620"/>
      <c r="V4" s="620"/>
      <c r="W4" s="620"/>
      <c r="X4" s="620"/>
      <c r="Y4" s="618"/>
    </row>
    <row r="5" spans="1:25" customFormat="1" ht="30" x14ac:dyDescent="0.25">
      <c r="A5" s="177" t="s">
        <v>277</v>
      </c>
      <c r="B5" s="177" t="s">
        <v>361</v>
      </c>
      <c r="C5" s="177" t="s">
        <v>378</v>
      </c>
      <c r="D5" s="177" t="s">
        <v>3</v>
      </c>
      <c r="E5" s="194">
        <v>1.4</v>
      </c>
      <c r="F5" s="177" t="s">
        <v>4</v>
      </c>
      <c r="G5" s="22" t="s">
        <v>5</v>
      </c>
      <c r="H5" s="180"/>
      <c r="I5" s="22" t="s">
        <v>379</v>
      </c>
      <c r="J5" s="22"/>
      <c r="K5" s="21" t="s">
        <v>1448</v>
      </c>
      <c r="L5" s="177" t="s">
        <v>81</v>
      </c>
      <c r="M5" s="177" t="s">
        <v>7</v>
      </c>
      <c r="N5" s="297">
        <v>1625</v>
      </c>
      <c r="O5" s="297">
        <v>2125</v>
      </c>
      <c r="P5" s="294">
        <f t="shared" ref="P5:P13" si="0">N5*O5*0.000001</f>
        <v>3.453125</v>
      </c>
      <c r="Q5" s="294"/>
      <c r="R5" s="294"/>
      <c r="S5" s="294">
        <v>5.4</v>
      </c>
      <c r="T5" s="294">
        <v>2.4</v>
      </c>
      <c r="U5" s="294"/>
      <c r="V5" s="294"/>
      <c r="W5" s="294"/>
      <c r="X5" s="294">
        <f>S5*T5-P5</f>
        <v>9.5068750000000009</v>
      </c>
      <c r="Y5" s="294"/>
    </row>
    <row r="6" spans="1:25" customFormat="1" ht="30" x14ac:dyDescent="0.25">
      <c r="A6" s="139" t="s">
        <v>277</v>
      </c>
      <c r="B6" s="139" t="s">
        <v>361</v>
      </c>
      <c r="C6" s="139" t="s">
        <v>380</v>
      </c>
      <c r="D6" s="139" t="s">
        <v>65</v>
      </c>
      <c r="E6" s="190">
        <v>1.4</v>
      </c>
      <c r="F6" s="139" t="s">
        <v>4</v>
      </c>
      <c r="G6" s="6" t="s">
        <v>5</v>
      </c>
      <c r="H6" s="181"/>
      <c r="I6" s="6" t="s">
        <v>379</v>
      </c>
      <c r="J6" s="6"/>
      <c r="K6" s="21" t="s">
        <v>1448</v>
      </c>
      <c r="L6" s="139" t="s">
        <v>81</v>
      </c>
      <c r="M6" s="139" t="s">
        <v>7</v>
      </c>
      <c r="N6" s="337">
        <v>750</v>
      </c>
      <c r="O6" s="337">
        <v>2125</v>
      </c>
      <c r="P6" s="294">
        <f t="shared" si="0"/>
        <v>1.59375</v>
      </c>
      <c r="Q6" s="292"/>
      <c r="R6" s="292"/>
      <c r="S6" s="292">
        <v>4.7</v>
      </c>
      <c r="T6" s="292">
        <v>2.4</v>
      </c>
      <c r="U6" s="292"/>
      <c r="V6" s="292"/>
      <c r="W6" s="292"/>
      <c r="X6" s="292">
        <f>S6*T6-P6</f>
        <v>9.6862499999999994</v>
      </c>
      <c r="Y6" s="292"/>
    </row>
    <row r="7" spans="1:25" customFormat="1" ht="30" x14ac:dyDescent="0.25">
      <c r="A7" s="139" t="s">
        <v>277</v>
      </c>
      <c r="B7" s="139" t="s">
        <v>361</v>
      </c>
      <c r="C7" s="139" t="s">
        <v>381</v>
      </c>
      <c r="D7" s="139" t="s">
        <v>382</v>
      </c>
      <c r="E7" s="190">
        <v>2.1</v>
      </c>
      <c r="F7" s="139" t="s">
        <v>4</v>
      </c>
      <c r="G7" s="6" t="s">
        <v>5</v>
      </c>
      <c r="H7" s="181"/>
      <c r="I7" s="6" t="s">
        <v>379</v>
      </c>
      <c r="J7" s="6"/>
      <c r="K7" s="21" t="s">
        <v>1448</v>
      </c>
      <c r="L7" s="139" t="s">
        <v>6</v>
      </c>
      <c r="M7" s="139" t="s">
        <v>7</v>
      </c>
      <c r="N7" s="337">
        <v>875</v>
      </c>
      <c r="O7" s="337">
        <v>2125</v>
      </c>
      <c r="P7" s="294">
        <f t="shared" si="0"/>
        <v>1.859375</v>
      </c>
      <c r="Q7" s="292"/>
      <c r="R7" s="292"/>
      <c r="S7" s="292">
        <v>6.2</v>
      </c>
      <c r="T7" s="292">
        <v>2.4</v>
      </c>
      <c r="U7" s="292"/>
      <c r="V7" s="292"/>
      <c r="W7" s="292"/>
      <c r="X7" s="292">
        <f>S7*T7-P7</f>
        <v>13.020624999999999</v>
      </c>
      <c r="Y7" s="292"/>
    </row>
    <row r="8" spans="1:25" customFormat="1" ht="30" x14ac:dyDescent="0.25">
      <c r="A8" s="139" t="s">
        <v>277</v>
      </c>
      <c r="B8" s="139" t="s">
        <v>361</v>
      </c>
      <c r="C8" s="139" t="s">
        <v>383</v>
      </c>
      <c r="D8" s="139" t="s">
        <v>384</v>
      </c>
      <c r="E8" s="190">
        <v>43.7</v>
      </c>
      <c r="F8" s="139" t="s">
        <v>4</v>
      </c>
      <c r="G8" s="6" t="s">
        <v>5</v>
      </c>
      <c r="H8" s="181"/>
      <c r="I8" s="6" t="s">
        <v>379</v>
      </c>
      <c r="J8" s="6"/>
      <c r="K8" s="21" t="s">
        <v>1448</v>
      </c>
      <c r="L8" s="139" t="s">
        <v>6</v>
      </c>
      <c r="M8" s="139" t="s">
        <v>7</v>
      </c>
      <c r="N8" s="337">
        <v>4125</v>
      </c>
      <c r="O8" s="337">
        <v>2125</v>
      </c>
      <c r="P8" s="294">
        <f t="shared" si="0"/>
        <v>8.765625</v>
      </c>
      <c r="Q8" s="292">
        <v>1.44</v>
      </c>
      <c r="R8" s="292">
        <v>0.72</v>
      </c>
      <c r="S8" s="292">
        <v>26.9</v>
      </c>
      <c r="T8" s="292">
        <v>2.4</v>
      </c>
      <c r="U8" s="292">
        <v>7.08</v>
      </c>
      <c r="V8" s="292"/>
      <c r="W8" s="292"/>
      <c r="X8" s="292">
        <f>S8*T8-P8</f>
        <v>55.794374999999988</v>
      </c>
      <c r="Y8" s="292"/>
    </row>
    <row r="9" spans="1:25" customFormat="1" ht="30" x14ac:dyDescent="0.25">
      <c r="A9" s="139" t="s">
        <v>277</v>
      </c>
      <c r="B9" s="139" t="s">
        <v>361</v>
      </c>
      <c r="C9" s="139" t="s">
        <v>385</v>
      </c>
      <c r="D9" s="139" t="s">
        <v>80</v>
      </c>
      <c r="E9" s="190">
        <v>23.3</v>
      </c>
      <c r="F9" s="139" t="s">
        <v>4</v>
      </c>
      <c r="G9" s="6" t="s">
        <v>5</v>
      </c>
      <c r="H9" s="181"/>
      <c r="I9" s="6" t="s">
        <v>379</v>
      </c>
      <c r="J9" s="6"/>
      <c r="K9" s="21" t="s">
        <v>1448</v>
      </c>
      <c r="L9" s="139" t="s">
        <v>6</v>
      </c>
      <c r="M9" s="139" t="s">
        <v>7</v>
      </c>
      <c r="N9" s="337">
        <v>3000</v>
      </c>
      <c r="O9" s="337">
        <v>2125</v>
      </c>
      <c r="P9" s="294">
        <f t="shared" si="0"/>
        <v>6.375</v>
      </c>
      <c r="Q9" s="292"/>
      <c r="R9" s="292"/>
      <c r="S9" s="292">
        <v>19.89</v>
      </c>
      <c r="T9" s="292">
        <v>2.4</v>
      </c>
      <c r="U9" s="292"/>
      <c r="V9" s="292"/>
      <c r="W9" s="292"/>
      <c r="X9" s="292">
        <f>S9*T9-P9</f>
        <v>41.360999999999997</v>
      </c>
      <c r="Y9" s="292"/>
    </row>
    <row r="10" spans="1:25" customFormat="1" ht="30" x14ac:dyDescent="0.25">
      <c r="A10" s="139" t="s">
        <v>277</v>
      </c>
      <c r="B10" s="139" t="s">
        <v>361</v>
      </c>
      <c r="C10" s="139" t="s">
        <v>386</v>
      </c>
      <c r="D10" s="139" t="s">
        <v>387</v>
      </c>
      <c r="E10" s="190">
        <v>23.3</v>
      </c>
      <c r="F10" s="139" t="s">
        <v>4</v>
      </c>
      <c r="G10" s="6" t="s">
        <v>5</v>
      </c>
      <c r="H10" s="181"/>
      <c r="I10" s="6" t="s">
        <v>379</v>
      </c>
      <c r="J10" s="6"/>
      <c r="K10" s="21" t="s">
        <v>1448</v>
      </c>
      <c r="L10" s="139" t="s">
        <v>6</v>
      </c>
      <c r="M10" s="139" t="s">
        <v>388</v>
      </c>
      <c r="N10" s="337">
        <v>900</v>
      </c>
      <c r="O10" s="337">
        <v>2125</v>
      </c>
      <c r="P10" s="294">
        <f t="shared" si="0"/>
        <v>1.9124999999999999</v>
      </c>
      <c r="Q10" s="292">
        <v>2.25</v>
      </c>
      <c r="R10" s="292">
        <v>2.25</v>
      </c>
      <c r="S10" s="292">
        <v>17.559999999999999</v>
      </c>
      <c r="T10" s="292">
        <v>2.4</v>
      </c>
      <c r="U10" s="292">
        <f>S10*T10-P10-Q10-X10</f>
        <v>34.781499999999994</v>
      </c>
      <c r="V10" s="292"/>
      <c r="W10" s="292"/>
      <c r="X10" s="292">
        <v>3.2</v>
      </c>
      <c r="Y10" s="292"/>
    </row>
    <row r="11" spans="1:25" customFormat="1" ht="30" x14ac:dyDescent="0.25">
      <c r="A11" s="139" t="s">
        <v>277</v>
      </c>
      <c r="B11" s="139" t="s">
        <v>361</v>
      </c>
      <c r="C11" s="139" t="s">
        <v>389</v>
      </c>
      <c r="D11" s="139" t="s">
        <v>390</v>
      </c>
      <c r="E11" s="190">
        <v>6.3</v>
      </c>
      <c r="F11" s="139" t="s">
        <v>4</v>
      </c>
      <c r="G11" s="6" t="s">
        <v>5</v>
      </c>
      <c r="H11" s="181"/>
      <c r="I11" s="6" t="s">
        <v>379</v>
      </c>
      <c r="J11" s="6"/>
      <c r="K11" s="21" t="s">
        <v>1448</v>
      </c>
      <c r="L11" s="139" t="s">
        <v>370</v>
      </c>
      <c r="M11" s="139"/>
      <c r="N11" s="337"/>
      <c r="O11" s="337"/>
      <c r="P11" s="294">
        <f t="shared" si="0"/>
        <v>0</v>
      </c>
      <c r="Q11" s="292"/>
      <c r="R11" s="292"/>
      <c r="S11" s="292"/>
      <c r="T11" s="292"/>
      <c r="U11" s="292"/>
      <c r="V11" s="292"/>
      <c r="W11" s="292"/>
      <c r="X11" s="292"/>
      <c r="Y11" s="292"/>
    </row>
    <row r="12" spans="1:25" customFormat="1" ht="30" x14ac:dyDescent="0.25">
      <c r="A12" s="203" t="s">
        <v>277</v>
      </c>
      <c r="B12" s="203" t="s">
        <v>361</v>
      </c>
      <c r="C12" s="203" t="s">
        <v>391</v>
      </c>
      <c r="D12" s="203" t="s">
        <v>392</v>
      </c>
      <c r="E12" s="204">
        <v>10.8</v>
      </c>
      <c r="F12" s="203" t="s">
        <v>4</v>
      </c>
      <c r="G12" s="8" t="s">
        <v>5</v>
      </c>
      <c r="H12" s="220"/>
      <c r="I12" s="8" t="s">
        <v>379</v>
      </c>
      <c r="J12" s="8"/>
      <c r="K12" s="210" t="s">
        <v>1448</v>
      </c>
      <c r="L12" s="203" t="s">
        <v>6</v>
      </c>
      <c r="M12" s="203" t="s">
        <v>7</v>
      </c>
      <c r="N12" s="347">
        <v>1750</v>
      </c>
      <c r="O12" s="347">
        <v>2125</v>
      </c>
      <c r="P12" s="348">
        <f t="shared" si="0"/>
        <v>3.71875</v>
      </c>
      <c r="Q12" s="349"/>
      <c r="R12" s="349"/>
      <c r="S12" s="349">
        <v>13.37</v>
      </c>
      <c r="T12" s="349">
        <v>2.4</v>
      </c>
      <c r="U12" s="349"/>
      <c r="V12" s="349"/>
      <c r="W12" s="349"/>
      <c r="X12" s="349">
        <f>S12*T12-P12</f>
        <v>28.369249999999994</v>
      </c>
      <c r="Y12" s="349"/>
    </row>
    <row r="13" spans="1:25" s="350" customFormat="1" ht="30" x14ac:dyDescent="0.25">
      <c r="A13" s="7" t="s">
        <v>277</v>
      </c>
      <c r="B13" s="7" t="s">
        <v>361</v>
      </c>
      <c r="C13" s="7" t="s">
        <v>393</v>
      </c>
      <c r="D13" s="7" t="s">
        <v>394</v>
      </c>
      <c r="E13" s="115">
        <v>44.9</v>
      </c>
      <c r="F13" s="7" t="s">
        <v>4</v>
      </c>
      <c r="G13" s="7" t="s">
        <v>5</v>
      </c>
      <c r="H13" s="181"/>
      <c r="I13" s="7" t="s">
        <v>379</v>
      </c>
      <c r="J13" s="7"/>
      <c r="K13" s="5" t="s">
        <v>1448</v>
      </c>
      <c r="L13" s="7" t="s">
        <v>6</v>
      </c>
      <c r="M13" s="7" t="s">
        <v>7</v>
      </c>
      <c r="N13" s="446">
        <v>2600</v>
      </c>
      <c r="O13" s="446">
        <v>2125</v>
      </c>
      <c r="P13" s="38">
        <f t="shared" si="0"/>
        <v>5.5249999999999995</v>
      </c>
      <c r="Q13" s="38"/>
      <c r="R13" s="38"/>
      <c r="S13" s="38">
        <v>30.17</v>
      </c>
      <c r="T13" s="38">
        <v>2.4</v>
      </c>
      <c r="U13" s="38">
        <f>S13*T13-P13</f>
        <v>66.882999999999996</v>
      </c>
      <c r="V13" s="38"/>
      <c r="W13" s="38"/>
      <c r="X13" s="38"/>
      <c r="Y13" s="38"/>
    </row>
    <row r="14" spans="1:25" customFormat="1" ht="30" x14ac:dyDescent="0.25">
      <c r="A14" s="177" t="s">
        <v>277</v>
      </c>
      <c r="B14" s="177" t="s">
        <v>361</v>
      </c>
      <c r="C14" s="177" t="s">
        <v>395</v>
      </c>
      <c r="D14" s="177" t="s">
        <v>396</v>
      </c>
      <c r="E14" s="194">
        <v>5.4</v>
      </c>
      <c r="F14" s="177" t="s">
        <v>4</v>
      </c>
      <c r="G14" s="22" t="s">
        <v>77</v>
      </c>
      <c r="H14" s="180"/>
      <c r="I14" s="22" t="s">
        <v>379</v>
      </c>
      <c r="J14" s="22"/>
      <c r="K14" s="21" t="s">
        <v>1448</v>
      </c>
      <c r="L14" s="177" t="s">
        <v>6</v>
      </c>
      <c r="M14" s="177" t="s">
        <v>7</v>
      </c>
      <c r="N14" s="297">
        <v>1500</v>
      </c>
      <c r="O14" s="297">
        <v>2125</v>
      </c>
      <c r="P14" s="294">
        <f>N14*O14*0.000001+2.64</f>
        <v>5.8275000000000006</v>
      </c>
      <c r="Q14" s="294"/>
      <c r="R14" s="294"/>
      <c r="S14" s="294">
        <v>9.6199999999999992</v>
      </c>
      <c r="T14" s="294">
        <v>2.4</v>
      </c>
      <c r="U14" s="294"/>
      <c r="V14" s="294"/>
      <c r="W14" s="294"/>
      <c r="X14" s="294">
        <f>(S14*T14)-P14</f>
        <v>17.260499999999997</v>
      </c>
      <c r="Y14" s="294"/>
    </row>
    <row r="15" spans="1:25" customFormat="1" ht="30.75" thickBot="1" x14ac:dyDescent="0.3">
      <c r="A15" s="326" t="s">
        <v>277</v>
      </c>
      <c r="B15" s="326" t="s">
        <v>361</v>
      </c>
      <c r="C15" s="326" t="s">
        <v>397</v>
      </c>
      <c r="D15" s="326" t="s">
        <v>55</v>
      </c>
      <c r="E15" s="327">
        <v>33.6</v>
      </c>
      <c r="F15" s="326" t="s">
        <v>4</v>
      </c>
      <c r="G15" s="19" t="s">
        <v>77</v>
      </c>
      <c r="H15" s="231"/>
      <c r="I15" s="19" t="s">
        <v>379</v>
      </c>
      <c r="J15" s="19"/>
      <c r="K15" s="18" t="s">
        <v>1448</v>
      </c>
      <c r="L15" s="326" t="s">
        <v>6</v>
      </c>
      <c r="M15" s="326" t="s">
        <v>7</v>
      </c>
      <c r="N15" s="343">
        <v>5625</v>
      </c>
      <c r="O15" s="343">
        <v>2125</v>
      </c>
      <c r="P15" s="344">
        <f t="shared" ref="P15:P22" si="1">N15*O15*0.000001</f>
        <v>11.953125</v>
      </c>
      <c r="Q15" s="344">
        <v>0.72</v>
      </c>
      <c r="R15" s="344">
        <v>0.72</v>
      </c>
      <c r="S15" s="344">
        <v>31.87</v>
      </c>
      <c r="T15" s="344">
        <v>2.5</v>
      </c>
      <c r="U15" s="344">
        <v>3.54</v>
      </c>
      <c r="V15" s="344"/>
      <c r="W15" s="344"/>
      <c r="X15" s="344">
        <f>S15*T15-P15-Q15</f>
        <v>67.001874999999998</v>
      </c>
      <c r="Y15" s="344"/>
    </row>
    <row r="16" spans="1:25" s="178" customFormat="1" ht="30.75" thickTop="1" x14ac:dyDescent="0.25">
      <c r="A16" s="147" t="s">
        <v>139</v>
      </c>
      <c r="B16" s="44" t="s">
        <v>1</v>
      </c>
      <c r="C16" s="44" t="s">
        <v>398</v>
      </c>
      <c r="D16" s="44" t="s">
        <v>145</v>
      </c>
      <c r="E16" s="46">
        <v>5.5</v>
      </c>
      <c r="F16" s="44" t="s">
        <v>4</v>
      </c>
      <c r="G16" s="22" t="s">
        <v>5</v>
      </c>
      <c r="H16" s="180"/>
      <c r="I16" s="21" t="s">
        <v>379</v>
      </c>
      <c r="J16" s="22"/>
      <c r="K16" s="21" t="s">
        <v>1448</v>
      </c>
      <c r="L16" s="24" t="s">
        <v>6</v>
      </c>
      <c r="M16" s="24" t="s">
        <v>7</v>
      </c>
      <c r="N16" s="320">
        <v>900</v>
      </c>
      <c r="O16" s="324">
        <v>2100</v>
      </c>
      <c r="P16" s="11">
        <f t="shared" si="1"/>
        <v>1.89</v>
      </c>
      <c r="Q16" s="25">
        <v>1.5</v>
      </c>
      <c r="R16" s="25"/>
      <c r="S16" s="25">
        <v>11.36</v>
      </c>
      <c r="T16" s="25">
        <v>3</v>
      </c>
      <c r="U16" s="25">
        <f t="shared" ref="U16:U21" si="2">S16*T16-P16-Q16-X16-Y16</f>
        <v>8.7240000000000002</v>
      </c>
      <c r="V16" s="25"/>
      <c r="W16" s="25"/>
      <c r="X16" s="25">
        <f>(S16-N16/1000)*2.1</f>
        <v>21.965999999999998</v>
      </c>
      <c r="Y16" s="25"/>
    </row>
    <row r="17" spans="1:25" customFormat="1" ht="30" x14ac:dyDescent="0.25">
      <c r="A17" s="151" t="s">
        <v>139</v>
      </c>
      <c r="B17" s="1" t="s">
        <v>1</v>
      </c>
      <c r="C17" s="44" t="s">
        <v>399</v>
      </c>
      <c r="D17" s="44" t="s">
        <v>80</v>
      </c>
      <c r="E17" s="46">
        <v>25.8</v>
      </c>
      <c r="F17" s="1" t="s">
        <v>4</v>
      </c>
      <c r="G17" s="22" t="s">
        <v>77</v>
      </c>
      <c r="H17" s="180"/>
      <c r="I17" s="5" t="s">
        <v>379</v>
      </c>
      <c r="J17" s="6"/>
      <c r="K17" s="21" t="s">
        <v>1448</v>
      </c>
      <c r="L17" s="12" t="s">
        <v>6</v>
      </c>
      <c r="M17" s="12" t="s">
        <v>7</v>
      </c>
      <c r="N17" s="161">
        <v>4200</v>
      </c>
      <c r="O17" s="162">
        <v>2100</v>
      </c>
      <c r="P17" s="16">
        <f t="shared" si="1"/>
        <v>8.82</v>
      </c>
      <c r="Q17" s="25"/>
      <c r="R17" s="13"/>
      <c r="S17" s="13">
        <v>22.91</v>
      </c>
      <c r="T17" s="25">
        <v>3</v>
      </c>
      <c r="U17" s="11">
        <f t="shared" si="2"/>
        <v>59.910000000000004</v>
      </c>
      <c r="V17" s="13"/>
      <c r="W17" s="13"/>
      <c r="X17" s="13"/>
      <c r="Y17" s="13"/>
    </row>
    <row r="18" spans="1:25" customFormat="1" ht="30" x14ac:dyDescent="0.25">
      <c r="A18" s="151" t="s">
        <v>139</v>
      </c>
      <c r="B18" s="1" t="s">
        <v>1</v>
      </c>
      <c r="C18" s="44" t="s">
        <v>400</v>
      </c>
      <c r="D18" s="44" t="s">
        <v>401</v>
      </c>
      <c r="E18" s="46">
        <v>6.4</v>
      </c>
      <c r="F18" s="1" t="s">
        <v>4</v>
      </c>
      <c r="G18" s="22" t="s">
        <v>77</v>
      </c>
      <c r="H18" s="180"/>
      <c r="I18" s="5" t="s">
        <v>379</v>
      </c>
      <c r="J18" s="6"/>
      <c r="K18" s="21" t="s">
        <v>1448</v>
      </c>
      <c r="L18" s="12" t="s">
        <v>6</v>
      </c>
      <c r="M18" s="12"/>
      <c r="N18" s="161"/>
      <c r="O18" s="162"/>
      <c r="P18" s="16">
        <f t="shared" si="1"/>
        <v>0</v>
      </c>
      <c r="Q18" s="25">
        <v>3</v>
      </c>
      <c r="R18" s="13">
        <v>2.25</v>
      </c>
      <c r="S18" s="13">
        <v>9.2100000000000009</v>
      </c>
      <c r="T18" s="25">
        <v>3</v>
      </c>
      <c r="U18" s="11">
        <f t="shared" si="2"/>
        <v>24.630000000000003</v>
      </c>
      <c r="V18" s="13"/>
      <c r="W18" s="13"/>
      <c r="X18" s="13"/>
      <c r="Y18" s="13"/>
    </row>
    <row r="19" spans="1:25" customFormat="1" ht="30" x14ac:dyDescent="0.25">
      <c r="A19" s="151" t="s">
        <v>139</v>
      </c>
      <c r="B19" s="1" t="s">
        <v>1</v>
      </c>
      <c r="C19" s="44" t="s">
        <v>402</v>
      </c>
      <c r="D19" s="44" t="s">
        <v>221</v>
      </c>
      <c r="E19" s="46">
        <v>8.1</v>
      </c>
      <c r="F19" s="1" t="s">
        <v>4</v>
      </c>
      <c r="G19" s="22" t="s">
        <v>77</v>
      </c>
      <c r="H19" s="180"/>
      <c r="I19" s="5" t="s">
        <v>379</v>
      </c>
      <c r="J19" s="6"/>
      <c r="K19" s="21" t="s">
        <v>1448</v>
      </c>
      <c r="L19" s="12" t="s">
        <v>10</v>
      </c>
      <c r="M19" s="12" t="s">
        <v>7</v>
      </c>
      <c r="N19" s="161">
        <v>900</v>
      </c>
      <c r="O19" s="162">
        <v>2100</v>
      </c>
      <c r="P19" s="16">
        <f t="shared" si="1"/>
        <v>1.89</v>
      </c>
      <c r="Q19" s="25">
        <v>1.5</v>
      </c>
      <c r="R19" s="13"/>
      <c r="S19" s="13">
        <v>12.43</v>
      </c>
      <c r="T19" s="25">
        <v>3</v>
      </c>
      <c r="U19" s="11">
        <f t="shared" si="2"/>
        <v>33.9</v>
      </c>
      <c r="V19" s="13"/>
      <c r="W19" s="13"/>
      <c r="X19" s="13"/>
      <c r="Y19" s="13"/>
    </row>
    <row r="20" spans="1:25" customFormat="1" ht="30" x14ac:dyDescent="0.25">
      <c r="A20" s="151" t="s">
        <v>139</v>
      </c>
      <c r="B20" s="1" t="s">
        <v>1</v>
      </c>
      <c r="C20" s="44" t="s">
        <v>403</v>
      </c>
      <c r="D20" s="44" t="s">
        <v>140</v>
      </c>
      <c r="E20" s="46">
        <v>4.2</v>
      </c>
      <c r="F20" s="1" t="s">
        <v>4</v>
      </c>
      <c r="G20" s="22" t="s">
        <v>77</v>
      </c>
      <c r="H20" s="180"/>
      <c r="I20" s="5" t="s">
        <v>379</v>
      </c>
      <c r="J20" s="6"/>
      <c r="K20" s="21" t="s">
        <v>1448</v>
      </c>
      <c r="L20" s="12" t="s">
        <v>6</v>
      </c>
      <c r="M20" s="12" t="s">
        <v>7</v>
      </c>
      <c r="N20" s="161">
        <v>1650</v>
      </c>
      <c r="O20" s="162">
        <v>2100</v>
      </c>
      <c r="P20" s="16">
        <f t="shared" si="1"/>
        <v>3.4649999999999999</v>
      </c>
      <c r="Q20" s="25"/>
      <c r="R20" s="13"/>
      <c r="S20" s="13">
        <v>8.09</v>
      </c>
      <c r="T20" s="25">
        <v>3</v>
      </c>
      <c r="U20" s="25">
        <f t="shared" si="2"/>
        <v>7.2810000000000006</v>
      </c>
      <c r="V20" s="13"/>
      <c r="W20" s="13"/>
      <c r="X20" s="13">
        <f>(S20-N20/1000)*2.1</f>
        <v>13.523999999999999</v>
      </c>
      <c r="Y20" s="13"/>
    </row>
    <row r="21" spans="1:25" customFormat="1" ht="30" x14ac:dyDescent="0.25">
      <c r="A21" s="151" t="s">
        <v>139</v>
      </c>
      <c r="B21" s="1" t="s">
        <v>1</v>
      </c>
      <c r="C21" s="44" t="s">
        <v>404</v>
      </c>
      <c r="D21" s="44" t="s">
        <v>101</v>
      </c>
      <c r="E21" s="46">
        <v>3.2</v>
      </c>
      <c r="F21" s="1" t="s">
        <v>4</v>
      </c>
      <c r="G21" s="22" t="s">
        <v>77</v>
      </c>
      <c r="H21" s="180"/>
      <c r="I21" s="5" t="s">
        <v>379</v>
      </c>
      <c r="J21" s="6"/>
      <c r="K21" s="21" t="s">
        <v>1448</v>
      </c>
      <c r="L21" s="12" t="s">
        <v>81</v>
      </c>
      <c r="M21" s="12" t="s">
        <v>7</v>
      </c>
      <c r="N21" s="161">
        <v>750</v>
      </c>
      <c r="O21" s="162">
        <v>2100</v>
      </c>
      <c r="P21" s="16">
        <f t="shared" si="1"/>
        <v>1.575</v>
      </c>
      <c r="Q21" s="25">
        <v>0.52</v>
      </c>
      <c r="R21" s="13"/>
      <c r="S21" s="13">
        <v>7.12</v>
      </c>
      <c r="T21" s="25">
        <v>3</v>
      </c>
      <c r="U21" s="25">
        <f t="shared" si="2"/>
        <v>5.8879999999999999</v>
      </c>
      <c r="V21" s="13"/>
      <c r="W21" s="13"/>
      <c r="X21" s="13">
        <f>(S21-N21/1000)*2.1</f>
        <v>13.377000000000001</v>
      </c>
      <c r="Y21" s="13"/>
    </row>
    <row r="22" spans="1:25" customFormat="1" ht="30" x14ac:dyDescent="0.25">
      <c r="A22" s="151" t="s">
        <v>139</v>
      </c>
      <c r="B22" s="1" t="s">
        <v>1</v>
      </c>
      <c r="C22" s="44" t="s">
        <v>405</v>
      </c>
      <c r="D22" s="44" t="s">
        <v>406</v>
      </c>
      <c r="E22" s="46">
        <v>21.4</v>
      </c>
      <c r="F22" s="1" t="s">
        <v>4</v>
      </c>
      <c r="G22" s="22" t="s">
        <v>77</v>
      </c>
      <c r="H22" s="180"/>
      <c r="I22" s="5" t="s">
        <v>379</v>
      </c>
      <c r="J22" s="6"/>
      <c r="K22" s="21" t="s">
        <v>1448</v>
      </c>
      <c r="L22" s="12" t="s">
        <v>6</v>
      </c>
      <c r="M22" s="179" t="s">
        <v>84</v>
      </c>
      <c r="N22" s="161">
        <v>2270</v>
      </c>
      <c r="O22" s="162">
        <v>3800</v>
      </c>
      <c r="P22" s="16">
        <f t="shared" si="1"/>
        <v>8.6259999999999994</v>
      </c>
      <c r="Q22" s="25">
        <v>3</v>
      </c>
      <c r="R22" s="13">
        <v>2.25</v>
      </c>
      <c r="S22" s="13">
        <v>17.02</v>
      </c>
      <c r="T22" s="25">
        <v>3.8</v>
      </c>
      <c r="U22" s="11">
        <f>S22*(T22-2.7)</f>
        <v>18.721999999999994</v>
      </c>
      <c r="V22" s="13"/>
      <c r="W22" s="13"/>
      <c r="X22" s="13">
        <f>S22*2.7-P22-Y22</f>
        <v>18.568000000000001</v>
      </c>
      <c r="Y22" s="13">
        <v>18.760000000000002</v>
      </c>
    </row>
    <row r="23" spans="1:25" ht="17.25" x14ac:dyDescent="0.25">
      <c r="C23" s="278" t="s">
        <v>274</v>
      </c>
      <c r="D23" s="342"/>
      <c r="E23" s="345">
        <f>SUM(E5:E22)</f>
        <v>270.79999999999995</v>
      </c>
      <c r="F23" s="342" t="s">
        <v>1560</v>
      </c>
    </row>
    <row r="24" spans="1:25" x14ac:dyDescent="0.25">
      <c r="A24" s="15"/>
    </row>
    <row r="25" spans="1:25" x14ac:dyDescent="0.25">
      <c r="C25" s="278" t="s">
        <v>1807</v>
      </c>
      <c r="D25" s="342"/>
      <c r="E25" s="358"/>
    </row>
    <row r="26" spans="1:25" ht="17.25" x14ac:dyDescent="0.25">
      <c r="B26" s="342"/>
      <c r="D26" s="358" t="s">
        <v>1808</v>
      </c>
      <c r="E26" s="345">
        <f>SUM(E5:E13)+E16</f>
        <v>162.69999999999999</v>
      </c>
      <c r="F26" s="342" t="s">
        <v>1560</v>
      </c>
    </row>
    <row r="27" spans="1:25" ht="17.25" x14ac:dyDescent="0.25">
      <c r="B27" s="342"/>
      <c r="D27" s="358" t="s">
        <v>37</v>
      </c>
      <c r="E27" s="345">
        <v>0</v>
      </c>
      <c r="F27" s="342" t="s">
        <v>1560</v>
      </c>
    </row>
    <row r="28" spans="1:25" ht="17.25" x14ac:dyDescent="0.25">
      <c r="B28" s="342"/>
      <c r="D28" s="358" t="s">
        <v>77</v>
      </c>
      <c r="E28" s="345">
        <f>SUM(E14:E15)+SUM(E17:E22)</f>
        <v>108.10000000000001</v>
      </c>
      <c r="F28" s="342" t="s">
        <v>1560</v>
      </c>
    </row>
    <row r="29" spans="1:25" ht="17.25" x14ac:dyDescent="0.25">
      <c r="B29" s="342"/>
      <c r="D29" s="358" t="s">
        <v>229</v>
      </c>
      <c r="E29" s="345">
        <v>0</v>
      </c>
      <c r="F29" s="342" t="s">
        <v>1560</v>
      </c>
    </row>
    <row r="30" spans="1:25" ht="17.25" x14ac:dyDescent="0.25">
      <c r="B30" s="342"/>
      <c r="D30" s="359" t="s">
        <v>274</v>
      </c>
      <c r="E30" s="345">
        <f>SUM(E26:E29)</f>
        <v>270.8</v>
      </c>
      <c r="F30" s="342" t="s">
        <v>1560</v>
      </c>
    </row>
    <row r="32" spans="1:25" x14ac:dyDescent="0.25">
      <c r="C32" s="284" t="s">
        <v>1970</v>
      </c>
      <c r="D32" s="305"/>
      <c r="E32" s="503" t="s">
        <v>1981</v>
      </c>
    </row>
    <row r="33" spans="3:5" x14ac:dyDescent="0.25">
      <c r="C33" s="284" t="s">
        <v>1964</v>
      </c>
      <c r="D33" s="305"/>
      <c r="E33" s="295" t="s">
        <v>379</v>
      </c>
    </row>
    <row r="34" spans="3:5" x14ac:dyDescent="0.25">
      <c r="C34" s="284" t="s">
        <v>2075</v>
      </c>
      <c r="D34" s="305"/>
      <c r="E34" s="295"/>
    </row>
  </sheetData>
  <sheetProtection password="87E5" sheet="1" objects="1" scenarios="1"/>
  <mergeCells count="26">
    <mergeCell ref="B3:B4"/>
    <mergeCell ref="C3:C4"/>
    <mergeCell ref="A1:F2"/>
    <mergeCell ref="G1:G4"/>
    <mergeCell ref="A3:A4"/>
    <mergeCell ref="K1:K4"/>
    <mergeCell ref="L1:L4"/>
    <mergeCell ref="W2:X2"/>
    <mergeCell ref="D3:D4"/>
    <mergeCell ref="E3:F4"/>
    <mergeCell ref="M1:O4"/>
    <mergeCell ref="P1:P4"/>
    <mergeCell ref="Q1:Q4"/>
    <mergeCell ref="R1:R4"/>
    <mergeCell ref="S1:S4"/>
    <mergeCell ref="T1:T4"/>
    <mergeCell ref="J1:J4"/>
    <mergeCell ref="I1:I4"/>
    <mergeCell ref="H1:H4"/>
    <mergeCell ref="Y1:Y4"/>
    <mergeCell ref="U3:U4"/>
    <mergeCell ref="V3:V4"/>
    <mergeCell ref="W3:W4"/>
    <mergeCell ref="X3:X4"/>
    <mergeCell ref="U1:X1"/>
    <mergeCell ref="U2:V2"/>
  </mergeCells>
  <dataValidations count="1">
    <dataValidation type="list" allowBlank="1" showInputMessage="1" showErrorMessage="1" sqref="G5:G15">
      <formula1>kat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68" fitToHeight="0" orientation="landscape" r:id="rId1"/>
  <headerFooter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="90" zoomScaleNormal="90" workbookViewId="0">
      <pane xSplit="7" ySplit="4" topLeftCell="H20" activePane="bottomRight" state="frozen"/>
      <selection pane="topRight" activeCell="H1" sqref="H1"/>
      <selection pane="bottomLeft" activeCell="A5" sqref="A5"/>
      <selection pane="bottomRight" activeCell="E36" sqref="E36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85546875" bestFit="1" customWidth="1"/>
    <col min="4" max="4" width="21.28515625" bestFit="1" customWidth="1"/>
    <col min="5" max="5" width="7.140625" style="250" bestFit="1" customWidth="1"/>
    <col min="6" max="6" width="3.85546875" bestFit="1" customWidth="1"/>
    <col min="7" max="7" width="11.140625" customWidth="1"/>
    <col min="8" max="8" width="14" style="188" customWidth="1"/>
    <col min="10" max="10" width="10.42578125" customWidth="1"/>
    <col min="11" max="11" width="25" customWidth="1"/>
    <col min="12" max="12" width="10.85546875" customWidth="1"/>
    <col min="13" max="13" width="7.7109375" customWidth="1"/>
    <col min="14" max="15" width="5.5703125" customWidth="1"/>
    <col min="16" max="16" width="7.140625" customWidth="1"/>
    <col min="17" max="17" width="7.5703125" customWidth="1"/>
    <col min="18" max="18" width="8.5703125" customWidth="1"/>
    <col min="19" max="19" width="7.7109375" customWidth="1"/>
    <col min="20" max="20" width="7" customWidth="1"/>
    <col min="21" max="21" width="7.85546875" customWidth="1"/>
    <col min="22" max="22" width="5.85546875" customWidth="1"/>
    <col min="23" max="23" width="7.28515625" customWidth="1"/>
    <col min="24" max="24" width="8.140625" customWidth="1"/>
    <col min="25" max="25" width="9.140625" customWidth="1"/>
  </cols>
  <sheetData>
    <row r="1" spans="1:32" s="149" customFormat="1" ht="15" customHeight="1" x14ac:dyDescent="0.25">
      <c r="A1" s="656" t="s">
        <v>1844</v>
      </c>
      <c r="B1" s="657"/>
      <c r="C1" s="657"/>
      <c r="D1" s="657"/>
      <c r="E1" s="657"/>
      <c r="F1" s="657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  <c r="Z1" s="148"/>
      <c r="AA1" s="148"/>
      <c r="AB1" s="148"/>
      <c r="AC1"/>
      <c r="AD1"/>
      <c r="AE1"/>
      <c r="AF1"/>
    </row>
    <row r="2" spans="1:32" s="149" customFormat="1" ht="15" customHeight="1" x14ac:dyDescent="0.25">
      <c r="A2" s="658"/>
      <c r="B2" s="659"/>
      <c r="C2" s="659"/>
      <c r="D2" s="659"/>
      <c r="E2" s="659"/>
      <c r="F2" s="659"/>
      <c r="G2" s="619"/>
      <c r="H2" s="640"/>
      <c r="I2" s="619"/>
      <c r="J2" s="619"/>
      <c r="K2" s="619"/>
      <c r="L2" s="619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  <c r="Z2" s="148"/>
      <c r="AA2" s="148"/>
      <c r="AB2" s="148"/>
      <c r="AC2"/>
      <c r="AD2"/>
      <c r="AE2"/>
      <c r="AF2"/>
    </row>
    <row r="3" spans="1:32" s="149" customForma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19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  <c r="Z3" s="148"/>
      <c r="AA3" s="148"/>
      <c r="AB3" s="148"/>
      <c r="AC3"/>
      <c r="AD3"/>
      <c r="AE3"/>
      <c r="AF3"/>
    </row>
    <row r="4" spans="1:32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20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32" ht="30" x14ac:dyDescent="0.25">
      <c r="A5" s="44" t="s">
        <v>277</v>
      </c>
      <c r="B5" s="44" t="s">
        <v>278</v>
      </c>
      <c r="C5" s="44" t="s">
        <v>407</v>
      </c>
      <c r="D5" s="44" t="s">
        <v>408</v>
      </c>
      <c r="E5" s="46">
        <v>15</v>
      </c>
      <c r="F5" s="44" t="s">
        <v>4</v>
      </c>
      <c r="G5" s="189" t="s">
        <v>5</v>
      </c>
      <c r="H5" s="180"/>
      <c r="I5" s="22"/>
      <c r="J5" s="22"/>
      <c r="K5" s="21" t="s">
        <v>1448</v>
      </c>
      <c r="L5" s="44" t="s">
        <v>6</v>
      </c>
      <c r="M5" s="44" t="s">
        <v>7</v>
      </c>
      <c r="N5" s="339">
        <v>4125</v>
      </c>
      <c r="O5" s="339">
        <v>2125</v>
      </c>
      <c r="P5" s="61">
        <f t="shared" ref="P5:P22" si="0">N5*O5*0.000001</f>
        <v>8.765625</v>
      </c>
      <c r="Q5" s="61"/>
      <c r="R5" s="61"/>
      <c r="S5" s="61">
        <v>15.65</v>
      </c>
      <c r="T5" s="61">
        <v>2.4</v>
      </c>
      <c r="U5" s="61"/>
      <c r="V5" s="61"/>
      <c r="W5" s="61"/>
      <c r="X5" s="61">
        <f>S5*T5-P5</f>
        <v>28.794375000000002</v>
      </c>
      <c r="Y5" s="61"/>
    </row>
    <row r="6" spans="1:32" ht="30" x14ac:dyDescent="0.25">
      <c r="A6" s="1" t="s">
        <v>277</v>
      </c>
      <c r="B6" s="1" t="s">
        <v>278</v>
      </c>
      <c r="C6" s="1" t="s">
        <v>409</v>
      </c>
      <c r="D6" s="1" t="s">
        <v>368</v>
      </c>
      <c r="E6" s="29">
        <v>9.6999999999999993</v>
      </c>
      <c r="F6" s="1" t="s">
        <v>4</v>
      </c>
      <c r="G6" s="187" t="s">
        <v>5</v>
      </c>
      <c r="H6" s="181"/>
      <c r="I6" s="6"/>
      <c r="J6" s="6"/>
      <c r="K6" s="21" t="s">
        <v>1448</v>
      </c>
      <c r="L6" s="1" t="s">
        <v>6</v>
      </c>
      <c r="M6" s="1" t="s">
        <v>7</v>
      </c>
      <c r="N6" s="296">
        <v>1125</v>
      </c>
      <c r="O6" s="296">
        <v>2125</v>
      </c>
      <c r="P6" s="61">
        <f t="shared" si="0"/>
        <v>2.390625</v>
      </c>
      <c r="Q6" s="259"/>
      <c r="R6" s="259"/>
      <c r="S6" s="259">
        <v>13.25</v>
      </c>
      <c r="T6" s="259">
        <v>2.25</v>
      </c>
      <c r="U6" s="259">
        <f>S6*T6-P6</f>
        <v>27.421875</v>
      </c>
      <c r="V6" s="259"/>
      <c r="W6" s="259"/>
      <c r="X6" s="259"/>
      <c r="Y6" s="259"/>
    </row>
    <row r="7" spans="1:32" ht="30" x14ac:dyDescent="0.25">
      <c r="A7" s="1" t="s">
        <v>277</v>
      </c>
      <c r="B7" s="1" t="s">
        <v>278</v>
      </c>
      <c r="C7" s="1" t="s">
        <v>410</v>
      </c>
      <c r="D7" s="1" t="s">
        <v>411</v>
      </c>
      <c r="E7" s="29">
        <v>44.7</v>
      </c>
      <c r="F7" s="1" t="s">
        <v>4</v>
      </c>
      <c r="G7" s="187" t="s">
        <v>5</v>
      </c>
      <c r="H7" s="181"/>
      <c r="I7" s="6"/>
      <c r="J7" s="6"/>
      <c r="K7" s="21" t="s">
        <v>1448</v>
      </c>
      <c r="L7" s="1" t="s">
        <v>6</v>
      </c>
      <c r="M7" s="1" t="s">
        <v>7</v>
      </c>
      <c r="N7" s="296">
        <v>2375</v>
      </c>
      <c r="O7" s="296">
        <v>2125</v>
      </c>
      <c r="P7" s="61">
        <f t="shared" si="0"/>
        <v>5.046875</v>
      </c>
      <c r="Q7" s="259"/>
      <c r="R7" s="259"/>
      <c r="S7" s="259">
        <v>22.71</v>
      </c>
      <c r="T7" s="259">
        <v>2.4</v>
      </c>
      <c r="U7" s="259"/>
      <c r="V7" s="259"/>
      <c r="W7" s="259"/>
      <c r="X7" s="259">
        <f>S7*T7-P7</f>
        <v>49.457124999999998</v>
      </c>
      <c r="Y7" s="259"/>
    </row>
    <row r="8" spans="1:32" ht="30" x14ac:dyDescent="0.25">
      <c r="A8" s="1" t="s">
        <v>277</v>
      </c>
      <c r="B8" s="1" t="s">
        <v>278</v>
      </c>
      <c r="C8" s="1" t="s">
        <v>412</v>
      </c>
      <c r="D8" s="1" t="s">
        <v>413</v>
      </c>
      <c r="E8" s="29">
        <v>14.8</v>
      </c>
      <c r="F8" s="1" t="s">
        <v>4</v>
      </c>
      <c r="G8" s="187" t="s">
        <v>5</v>
      </c>
      <c r="H8" s="181"/>
      <c r="I8" s="6"/>
      <c r="J8" s="6"/>
      <c r="K8" s="21" t="s">
        <v>1448</v>
      </c>
      <c r="L8" s="1" t="s">
        <v>6</v>
      </c>
      <c r="M8" s="1" t="s">
        <v>7</v>
      </c>
      <c r="N8" s="296">
        <v>4125</v>
      </c>
      <c r="O8" s="296">
        <v>2125</v>
      </c>
      <c r="P8" s="61">
        <f t="shared" si="0"/>
        <v>8.765625</v>
      </c>
      <c r="Q8" s="259"/>
      <c r="R8" s="259"/>
      <c r="S8" s="259">
        <v>15.65</v>
      </c>
      <c r="T8" s="259">
        <v>2.4</v>
      </c>
      <c r="U8" s="259"/>
      <c r="V8" s="259"/>
      <c r="W8" s="259"/>
      <c r="X8" s="259">
        <f>S8*T8-P8</f>
        <v>28.794375000000002</v>
      </c>
      <c r="Y8" s="259"/>
    </row>
    <row r="9" spans="1:32" ht="30" x14ac:dyDescent="0.25">
      <c r="A9" s="1" t="s">
        <v>277</v>
      </c>
      <c r="B9" s="1" t="s">
        <v>278</v>
      </c>
      <c r="C9" s="1" t="s">
        <v>414</v>
      </c>
      <c r="D9" s="1" t="s">
        <v>415</v>
      </c>
      <c r="E9" s="29">
        <v>9.6999999999999993</v>
      </c>
      <c r="F9" s="1" t="s">
        <v>4</v>
      </c>
      <c r="G9" s="187" t="s">
        <v>5</v>
      </c>
      <c r="H9" s="181"/>
      <c r="I9" s="6"/>
      <c r="J9" s="6"/>
      <c r="K9" s="21" t="s">
        <v>1448</v>
      </c>
      <c r="L9" s="1" t="s">
        <v>6</v>
      </c>
      <c r="M9" s="1" t="s">
        <v>7</v>
      </c>
      <c r="N9" s="296">
        <v>1125</v>
      </c>
      <c r="O9" s="296">
        <v>2125</v>
      </c>
      <c r="P9" s="61">
        <f t="shared" si="0"/>
        <v>2.390625</v>
      </c>
      <c r="Q9" s="259"/>
      <c r="R9" s="259"/>
      <c r="S9" s="259">
        <v>13.25</v>
      </c>
      <c r="T9" s="259">
        <v>2.2000000000000002</v>
      </c>
      <c r="U9" s="259">
        <f>S9*T9-P9</f>
        <v>26.759375000000002</v>
      </c>
      <c r="V9" s="259"/>
      <c r="W9" s="259"/>
      <c r="X9" s="259"/>
      <c r="Y9" s="259"/>
    </row>
    <row r="10" spans="1:32" ht="30" x14ac:dyDescent="0.25">
      <c r="A10" s="1" t="s">
        <v>277</v>
      </c>
      <c r="B10" s="1" t="s">
        <v>278</v>
      </c>
      <c r="C10" s="1" t="s">
        <v>416</v>
      </c>
      <c r="D10" s="1" t="s">
        <v>417</v>
      </c>
      <c r="E10" s="29">
        <v>44.7</v>
      </c>
      <c r="F10" s="1" t="s">
        <v>4</v>
      </c>
      <c r="G10" s="187" t="s">
        <v>5</v>
      </c>
      <c r="H10" s="181"/>
      <c r="I10" s="6"/>
      <c r="J10" s="6"/>
      <c r="K10" s="21" t="s">
        <v>1448</v>
      </c>
      <c r="L10" s="1" t="s">
        <v>6</v>
      </c>
      <c r="M10" s="1" t="s">
        <v>7</v>
      </c>
      <c r="N10" s="296">
        <v>2375</v>
      </c>
      <c r="O10" s="296">
        <v>2125</v>
      </c>
      <c r="P10" s="61">
        <f t="shared" si="0"/>
        <v>5.046875</v>
      </c>
      <c r="Q10" s="259"/>
      <c r="R10" s="259"/>
      <c r="S10" s="259">
        <v>22.71</v>
      </c>
      <c r="T10" s="259">
        <v>2.4</v>
      </c>
      <c r="U10" s="259"/>
      <c r="V10" s="259"/>
      <c r="W10" s="259"/>
      <c r="X10" s="259">
        <f>S10*T10-P10</f>
        <v>49.457124999999998</v>
      </c>
      <c r="Y10" s="259"/>
    </row>
    <row r="11" spans="1:32" ht="30" x14ac:dyDescent="0.25">
      <c r="A11" s="139" t="s">
        <v>277</v>
      </c>
      <c r="B11" s="139" t="s">
        <v>228</v>
      </c>
      <c r="C11" s="139" t="s">
        <v>418</v>
      </c>
      <c r="D11" s="139" t="s">
        <v>419</v>
      </c>
      <c r="E11" s="190">
        <v>25.2</v>
      </c>
      <c r="F11" s="139" t="s">
        <v>4</v>
      </c>
      <c r="G11" s="187" t="s">
        <v>5</v>
      </c>
      <c r="H11" s="181"/>
      <c r="I11" s="6"/>
      <c r="J11" s="6"/>
      <c r="K11" s="21" t="s">
        <v>1448</v>
      </c>
      <c r="L11" s="139" t="s">
        <v>6</v>
      </c>
      <c r="M11" s="139" t="s">
        <v>7</v>
      </c>
      <c r="N11" s="337">
        <v>3875</v>
      </c>
      <c r="O11" s="337">
        <v>2125</v>
      </c>
      <c r="P11" s="294">
        <f t="shared" si="0"/>
        <v>8.234375</v>
      </c>
      <c r="Q11" s="292"/>
      <c r="R11" s="292"/>
      <c r="S11" s="292">
        <v>20.399999999999999</v>
      </c>
      <c r="T11" s="292">
        <v>2.4</v>
      </c>
      <c r="U11" s="292"/>
      <c r="V11" s="292"/>
      <c r="W11" s="292"/>
      <c r="X11" s="292">
        <f>S11*T11-P11</f>
        <v>40.725624999999994</v>
      </c>
      <c r="Y11" s="292"/>
    </row>
    <row r="12" spans="1:32" ht="30" x14ac:dyDescent="0.25">
      <c r="A12" s="139" t="s">
        <v>277</v>
      </c>
      <c r="B12" s="139" t="s">
        <v>361</v>
      </c>
      <c r="C12" s="139" t="s">
        <v>420</v>
      </c>
      <c r="D12" s="139" t="s">
        <v>421</v>
      </c>
      <c r="E12" s="190">
        <v>25.2</v>
      </c>
      <c r="F12" s="139" t="s">
        <v>4</v>
      </c>
      <c r="G12" s="187" t="s">
        <v>77</v>
      </c>
      <c r="H12" s="181"/>
      <c r="I12" s="6"/>
      <c r="J12" s="6"/>
      <c r="K12" s="5" t="s">
        <v>2031</v>
      </c>
      <c r="L12" s="139" t="s">
        <v>6</v>
      </c>
      <c r="M12" s="139" t="s">
        <v>7</v>
      </c>
      <c r="N12" s="337">
        <v>3875</v>
      </c>
      <c r="O12" s="337">
        <v>2125</v>
      </c>
      <c r="P12" s="294">
        <f t="shared" si="0"/>
        <v>8.234375</v>
      </c>
      <c r="Q12" s="292"/>
      <c r="R12" s="292"/>
      <c r="S12" s="292">
        <v>20.399999999999999</v>
      </c>
      <c r="T12" s="292">
        <v>2.4</v>
      </c>
      <c r="U12" s="292"/>
      <c r="V12" s="292"/>
      <c r="W12" s="292"/>
      <c r="X12" s="292">
        <f>S12*T12-P12</f>
        <v>40.725624999999994</v>
      </c>
      <c r="Y12" s="292"/>
    </row>
    <row r="13" spans="1:32" ht="30" x14ac:dyDescent="0.25">
      <c r="A13" s="139" t="s">
        <v>277</v>
      </c>
      <c r="B13" s="139" t="s">
        <v>361</v>
      </c>
      <c r="C13" s="139" t="s">
        <v>422</v>
      </c>
      <c r="D13" s="139" t="s">
        <v>387</v>
      </c>
      <c r="E13" s="190">
        <v>10.5</v>
      </c>
      <c r="F13" s="139" t="s">
        <v>4</v>
      </c>
      <c r="G13" s="187" t="s">
        <v>77</v>
      </c>
      <c r="H13" s="181"/>
      <c r="I13" s="6"/>
      <c r="J13" s="6"/>
      <c r="K13" s="5" t="s">
        <v>2031</v>
      </c>
      <c r="L13" s="139" t="s">
        <v>10</v>
      </c>
      <c r="M13" s="139" t="s">
        <v>7</v>
      </c>
      <c r="N13" s="337">
        <v>1750</v>
      </c>
      <c r="O13" s="337">
        <v>2125</v>
      </c>
      <c r="P13" s="294">
        <f t="shared" si="0"/>
        <v>3.71875</v>
      </c>
      <c r="Q13" s="292">
        <v>0.72</v>
      </c>
      <c r="R13" s="292">
        <v>0.72</v>
      </c>
      <c r="S13" s="292">
        <v>13.7</v>
      </c>
      <c r="T13" s="292">
        <v>2.4</v>
      </c>
      <c r="U13" s="292">
        <f>S13*T13-P13-Q13-X13</f>
        <v>25.481249999999996</v>
      </c>
      <c r="V13" s="292"/>
      <c r="W13" s="292"/>
      <c r="X13" s="292">
        <v>2.96</v>
      </c>
      <c r="Y13" s="292"/>
    </row>
    <row r="14" spans="1:32" ht="30" x14ac:dyDescent="0.25">
      <c r="A14" s="1" t="s">
        <v>277</v>
      </c>
      <c r="B14" s="1" t="s">
        <v>278</v>
      </c>
      <c r="C14" s="1" t="s">
        <v>423</v>
      </c>
      <c r="D14" s="1" t="s">
        <v>3</v>
      </c>
      <c r="E14" s="29">
        <v>1.5</v>
      </c>
      <c r="F14" s="1" t="s">
        <v>4</v>
      </c>
      <c r="G14" s="187" t="s">
        <v>77</v>
      </c>
      <c r="H14" s="181"/>
      <c r="I14" s="6"/>
      <c r="J14" s="6"/>
      <c r="K14" s="5" t="s">
        <v>2031</v>
      </c>
      <c r="L14" s="1" t="s">
        <v>81</v>
      </c>
      <c r="M14" s="1" t="s">
        <v>7</v>
      </c>
      <c r="N14" s="296">
        <v>2500</v>
      </c>
      <c r="O14" s="296">
        <v>2125</v>
      </c>
      <c r="P14" s="61">
        <f t="shared" si="0"/>
        <v>5.3125</v>
      </c>
      <c r="Q14" s="259"/>
      <c r="R14" s="259"/>
      <c r="S14" s="259">
        <v>5</v>
      </c>
      <c r="T14" s="259">
        <v>2.2999999999999998</v>
      </c>
      <c r="U14" s="259">
        <f>S14*T14-P14</f>
        <v>6.1875</v>
      </c>
      <c r="V14" s="259"/>
      <c r="W14" s="259"/>
      <c r="X14" s="259"/>
      <c r="Y14" s="259"/>
    </row>
    <row r="15" spans="1:32" ht="30" x14ac:dyDescent="0.25">
      <c r="A15" s="1" t="s">
        <v>277</v>
      </c>
      <c r="B15" s="1" t="s">
        <v>278</v>
      </c>
      <c r="C15" s="1" t="s">
        <v>424</v>
      </c>
      <c r="D15" s="1" t="s">
        <v>65</v>
      </c>
      <c r="E15" s="29">
        <v>1.4</v>
      </c>
      <c r="F15" s="1" t="s">
        <v>4</v>
      </c>
      <c r="G15" s="187" t="s">
        <v>77</v>
      </c>
      <c r="H15" s="181"/>
      <c r="I15" s="6"/>
      <c r="J15" s="6"/>
      <c r="K15" s="5" t="s">
        <v>2031</v>
      </c>
      <c r="L15" s="1" t="s">
        <v>425</v>
      </c>
      <c r="M15" s="1" t="s">
        <v>7</v>
      </c>
      <c r="N15" s="296">
        <v>750</v>
      </c>
      <c r="O15" s="296">
        <v>2125</v>
      </c>
      <c r="P15" s="61">
        <f t="shared" si="0"/>
        <v>1.59375</v>
      </c>
      <c r="Q15" s="259"/>
      <c r="R15" s="259"/>
      <c r="S15" s="259">
        <v>4.5</v>
      </c>
      <c r="T15" s="259">
        <v>2.2999999999999998</v>
      </c>
      <c r="U15" s="259"/>
      <c r="V15" s="259"/>
      <c r="W15" s="259"/>
      <c r="X15" s="259">
        <f>S15*T15-P15</f>
        <v>8.7562499999999996</v>
      </c>
      <c r="Y15" s="259"/>
    </row>
    <row r="16" spans="1:32" ht="30" x14ac:dyDescent="0.25">
      <c r="A16" s="1" t="s">
        <v>277</v>
      </c>
      <c r="B16" s="1" t="s">
        <v>278</v>
      </c>
      <c r="C16" s="1" t="s">
        <v>426</v>
      </c>
      <c r="D16" s="1" t="s">
        <v>140</v>
      </c>
      <c r="E16" s="29">
        <v>8.6</v>
      </c>
      <c r="F16" s="1" t="s">
        <v>4</v>
      </c>
      <c r="G16" s="187" t="s">
        <v>77</v>
      </c>
      <c r="H16" s="181"/>
      <c r="I16" s="6"/>
      <c r="J16" s="6"/>
      <c r="K16" s="5" t="s">
        <v>2031</v>
      </c>
      <c r="L16" s="1" t="s">
        <v>10</v>
      </c>
      <c r="M16" s="1" t="s">
        <v>7</v>
      </c>
      <c r="N16" s="296">
        <v>2500</v>
      </c>
      <c r="O16" s="296">
        <v>2125</v>
      </c>
      <c r="P16" s="61">
        <f t="shared" si="0"/>
        <v>5.3125</v>
      </c>
      <c r="Q16" s="259"/>
      <c r="R16" s="259"/>
      <c r="S16" s="259">
        <v>11.7</v>
      </c>
      <c r="T16" s="259">
        <v>2.4</v>
      </c>
      <c r="U16" s="259">
        <f>S16*T16-P16</f>
        <v>22.767499999999998</v>
      </c>
      <c r="V16" s="259"/>
      <c r="W16" s="259"/>
      <c r="X16" s="259"/>
      <c r="Y16" s="259"/>
    </row>
    <row r="17" spans="1:25" ht="30" x14ac:dyDescent="0.25">
      <c r="A17" s="1" t="s">
        <v>277</v>
      </c>
      <c r="B17" s="1" t="s">
        <v>278</v>
      </c>
      <c r="C17" s="1" t="s">
        <v>427</v>
      </c>
      <c r="D17" s="1" t="s">
        <v>62</v>
      </c>
      <c r="E17" s="29">
        <v>1.7</v>
      </c>
      <c r="F17" s="1" t="s">
        <v>4</v>
      </c>
      <c r="G17" s="187" t="s">
        <v>77</v>
      </c>
      <c r="H17" s="181"/>
      <c r="I17" s="6"/>
      <c r="J17" s="6"/>
      <c r="K17" s="5" t="s">
        <v>2031</v>
      </c>
      <c r="L17" s="1" t="s">
        <v>81</v>
      </c>
      <c r="M17" s="1" t="s">
        <v>7</v>
      </c>
      <c r="N17" s="296">
        <v>750</v>
      </c>
      <c r="O17" s="296">
        <v>2125</v>
      </c>
      <c r="P17" s="61">
        <f t="shared" si="0"/>
        <v>1.59375</v>
      </c>
      <c r="Q17" s="259"/>
      <c r="R17" s="259"/>
      <c r="S17" s="259">
        <v>4.8</v>
      </c>
      <c r="T17" s="259">
        <v>2.4</v>
      </c>
      <c r="U17" s="259"/>
      <c r="V17" s="259"/>
      <c r="W17" s="259"/>
      <c r="X17" s="259">
        <f>S17*T17-P17</f>
        <v>9.9262499999999996</v>
      </c>
      <c r="Y17" s="259"/>
    </row>
    <row r="18" spans="1:25" ht="30" x14ac:dyDescent="0.25">
      <c r="A18" s="1" t="s">
        <v>277</v>
      </c>
      <c r="B18" s="1" t="s">
        <v>278</v>
      </c>
      <c r="C18" s="1" t="s">
        <v>428</v>
      </c>
      <c r="D18" s="1" t="s">
        <v>3</v>
      </c>
      <c r="E18" s="29">
        <v>1.5</v>
      </c>
      <c r="F18" s="1" t="s">
        <v>4</v>
      </c>
      <c r="G18" s="187" t="s">
        <v>77</v>
      </c>
      <c r="H18" s="181"/>
      <c r="I18" s="6"/>
      <c r="J18" s="6"/>
      <c r="K18" s="5" t="s">
        <v>2031</v>
      </c>
      <c r="L18" s="1" t="s">
        <v>81</v>
      </c>
      <c r="M18" s="1" t="s">
        <v>7</v>
      </c>
      <c r="N18" s="296">
        <v>2500</v>
      </c>
      <c r="O18" s="296">
        <v>2125</v>
      </c>
      <c r="P18" s="61">
        <f t="shared" si="0"/>
        <v>5.3125</v>
      </c>
      <c r="Q18" s="259"/>
      <c r="R18" s="259"/>
      <c r="S18" s="259">
        <v>5</v>
      </c>
      <c r="T18" s="259">
        <v>2.2999999999999998</v>
      </c>
      <c r="U18" s="259">
        <f>S18*T18-P18</f>
        <v>6.1875</v>
      </c>
      <c r="V18" s="259"/>
      <c r="W18" s="259"/>
      <c r="X18" s="259"/>
      <c r="Y18" s="259"/>
    </row>
    <row r="19" spans="1:25" ht="30" x14ac:dyDescent="0.25">
      <c r="A19" s="1" t="s">
        <v>277</v>
      </c>
      <c r="B19" s="1" t="s">
        <v>278</v>
      </c>
      <c r="C19" s="1" t="s">
        <v>429</v>
      </c>
      <c r="D19" s="1" t="s">
        <v>65</v>
      </c>
      <c r="E19" s="29">
        <v>1.4</v>
      </c>
      <c r="F19" s="1" t="s">
        <v>4</v>
      </c>
      <c r="G19" s="187" t="s">
        <v>77</v>
      </c>
      <c r="H19" s="181"/>
      <c r="I19" s="6"/>
      <c r="J19" s="6"/>
      <c r="K19" s="5" t="s">
        <v>2031</v>
      </c>
      <c r="L19" s="1" t="s">
        <v>81</v>
      </c>
      <c r="M19" s="1" t="s">
        <v>7</v>
      </c>
      <c r="N19" s="296">
        <v>750</v>
      </c>
      <c r="O19" s="296">
        <v>2125</v>
      </c>
      <c r="P19" s="61">
        <f t="shared" si="0"/>
        <v>1.59375</v>
      </c>
      <c r="Q19" s="259"/>
      <c r="R19" s="259"/>
      <c r="S19" s="259">
        <v>4.5</v>
      </c>
      <c r="T19" s="259">
        <v>2.2999999999999998</v>
      </c>
      <c r="U19" s="259"/>
      <c r="V19" s="259"/>
      <c r="W19" s="259"/>
      <c r="X19" s="259">
        <f>S19*T19-P19</f>
        <v>8.7562499999999996</v>
      </c>
      <c r="Y19" s="259"/>
    </row>
    <row r="20" spans="1:25" ht="30" x14ac:dyDescent="0.25">
      <c r="A20" s="1" t="s">
        <v>277</v>
      </c>
      <c r="B20" s="1" t="s">
        <v>278</v>
      </c>
      <c r="C20" s="1" t="s">
        <v>430</v>
      </c>
      <c r="D20" s="1" t="s">
        <v>140</v>
      </c>
      <c r="E20" s="29">
        <v>7.6</v>
      </c>
      <c r="F20" s="1" t="s">
        <v>4</v>
      </c>
      <c r="G20" s="187" t="s">
        <v>77</v>
      </c>
      <c r="H20" s="181"/>
      <c r="I20" s="6"/>
      <c r="J20" s="6"/>
      <c r="K20" s="5" t="s">
        <v>2031</v>
      </c>
      <c r="L20" s="1" t="s">
        <v>10</v>
      </c>
      <c r="M20" s="1" t="s">
        <v>7</v>
      </c>
      <c r="N20" s="296">
        <v>875</v>
      </c>
      <c r="O20" s="296">
        <v>2125</v>
      </c>
      <c r="P20" s="61">
        <f t="shared" si="0"/>
        <v>1.859375</v>
      </c>
      <c r="Q20" s="259"/>
      <c r="R20" s="259"/>
      <c r="S20" s="259">
        <v>11.7</v>
      </c>
      <c r="T20" s="259">
        <v>2.4</v>
      </c>
      <c r="U20" s="259">
        <f>S20*T20-P20</f>
        <v>26.220624999999998</v>
      </c>
      <c r="V20" s="259"/>
      <c r="W20" s="259"/>
      <c r="X20" s="259"/>
      <c r="Y20" s="259"/>
    </row>
    <row r="21" spans="1:25" ht="30" x14ac:dyDescent="0.25">
      <c r="A21" s="1" t="s">
        <v>277</v>
      </c>
      <c r="B21" s="1" t="s">
        <v>278</v>
      </c>
      <c r="C21" s="1" t="s">
        <v>431</v>
      </c>
      <c r="D21" s="1" t="s">
        <v>62</v>
      </c>
      <c r="E21" s="29">
        <v>1.4</v>
      </c>
      <c r="F21" s="1" t="s">
        <v>4</v>
      </c>
      <c r="G21" s="187" t="s">
        <v>77</v>
      </c>
      <c r="H21" s="181"/>
      <c r="I21" s="6"/>
      <c r="J21" s="6"/>
      <c r="K21" s="5" t="s">
        <v>2031</v>
      </c>
      <c r="L21" s="1" t="s">
        <v>81</v>
      </c>
      <c r="M21" s="1" t="s">
        <v>7</v>
      </c>
      <c r="N21" s="296">
        <v>750</v>
      </c>
      <c r="O21" s="296">
        <v>2125</v>
      </c>
      <c r="P21" s="61">
        <f t="shared" si="0"/>
        <v>1.59375</v>
      </c>
      <c r="Q21" s="259"/>
      <c r="R21" s="259"/>
      <c r="S21" s="259">
        <v>4.8</v>
      </c>
      <c r="T21" s="259">
        <v>2.4</v>
      </c>
      <c r="U21" s="259"/>
      <c r="V21" s="259"/>
      <c r="W21" s="259"/>
      <c r="X21" s="259">
        <f>S21*T21-P21</f>
        <v>9.9262499999999996</v>
      </c>
      <c r="Y21" s="259"/>
    </row>
    <row r="22" spans="1:25" ht="30" x14ac:dyDescent="0.25">
      <c r="A22" s="139" t="s">
        <v>277</v>
      </c>
      <c r="B22" s="139" t="s">
        <v>228</v>
      </c>
      <c r="C22" s="139" t="s">
        <v>432</v>
      </c>
      <c r="D22" s="139" t="s">
        <v>433</v>
      </c>
      <c r="E22" s="190">
        <v>9</v>
      </c>
      <c r="F22" s="139" t="s">
        <v>4</v>
      </c>
      <c r="G22" s="187" t="s">
        <v>77</v>
      </c>
      <c r="H22" s="181"/>
      <c r="I22" s="6"/>
      <c r="J22" s="6"/>
      <c r="K22" s="5" t="s">
        <v>2031</v>
      </c>
      <c r="L22" s="139" t="s">
        <v>10</v>
      </c>
      <c r="M22" s="139" t="s">
        <v>7</v>
      </c>
      <c r="N22" s="337">
        <v>875</v>
      </c>
      <c r="O22" s="337">
        <v>2125</v>
      </c>
      <c r="P22" s="294">
        <f t="shared" si="0"/>
        <v>1.859375</v>
      </c>
      <c r="Q22" s="292">
        <v>0.72</v>
      </c>
      <c r="R22" s="292"/>
      <c r="S22" s="292">
        <v>13</v>
      </c>
      <c r="T22" s="292">
        <v>2.4</v>
      </c>
      <c r="U22" s="292">
        <f>S22*T22-P22-Q22-X22</f>
        <v>25.780625000000001</v>
      </c>
      <c r="V22" s="292"/>
      <c r="W22" s="292"/>
      <c r="X22" s="292">
        <v>2.84</v>
      </c>
      <c r="Y22" s="292"/>
    </row>
    <row r="23" spans="1:25" ht="17.25" x14ac:dyDescent="0.25">
      <c r="C23" s="280" t="s">
        <v>274</v>
      </c>
      <c r="D23" s="284"/>
      <c r="E23" s="286">
        <f>SUM(E5:E22)</f>
        <v>233.6</v>
      </c>
      <c r="F23" s="284" t="s">
        <v>1560</v>
      </c>
    </row>
    <row r="25" spans="1:25" x14ac:dyDescent="0.25">
      <c r="C25" s="278" t="s">
        <v>1807</v>
      </c>
      <c r="D25" s="342"/>
      <c r="E25" s="358"/>
      <c r="F25" s="65"/>
    </row>
    <row r="26" spans="1:25" ht="17.25" x14ac:dyDescent="0.25">
      <c r="C26" s="65"/>
      <c r="D26" s="358" t="s">
        <v>1808</v>
      </c>
      <c r="E26" s="345">
        <f>SUM(E5:E11)</f>
        <v>163.80000000000001</v>
      </c>
      <c r="F26" s="342" t="s">
        <v>1560</v>
      </c>
    </row>
    <row r="27" spans="1:25" ht="17.25" x14ac:dyDescent="0.25">
      <c r="C27" s="65"/>
      <c r="D27" s="358" t="s">
        <v>37</v>
      </c>
      <c r="E27" s="345">
        <v>0</v>
      </c>
      <c r="F27" s="342" t="s">
        <v>1560</v>
      </c>
    </row>
    <row r="28" spans="1:25" ht="17.25" x14ac:dyDescent="0.25">
      <c r="C28" s="65"/>
      <c r="D28" s="358" t="s">
        <v>77</v>
      </c>
      <c r="E28" s="345">
        <f>SUM(E12:E22)</f>
        <v>69.800000000000011</v>
      </c>
      <c r="F28" s="342" t="s">
        <v>1560</v>
      </c>
    </row>
    <row r="29" spans="1:25" ht="17.25" x14ac:dyDescent="0.25">
      <c r="C29" s="65"/>
      <c r="D29" s="358" t="s">
        <v>229</v>
      </c>
      <c r="E29" s="345">
        <v>0</v>
      </c>
      <c r="F29" s="342" t="s">
        <v>1560</v>
      </c>
    </row>
    <row r="30" spans="1:25" ht="17.25" x14ac:dyDescent="0.25">
      <c r="C30" s="65"/>
      <c r="D30" s="359" t="s">
        <v>274</v>
      </c>
      <c r="E30" s="345">
        <f>SUM(E26:E29)</f>
        <v>233.60000000000002</v>
      </c>
      <c r="F30" s="342" t="s">
        <v>1560</v>
      </c>
    </row>
    <row r="31" spans="1:25" x14ac:dyDescent="0.25">
      <c r="C31" s="65"/>
      <c r="D31" s="359"/>
      <c r="E31" s="345"/>
      <c r="F31" s="342"/>
    </row>
    <row r="32" spans="1:25" x14ac:dyDescent="0.25">
      <c r="C32" s="284" t="s">
        <v>1970</v>
      </c>
    </row>
    <row r="33" spans="3:5" x14ac:dyDescent="0.25">
      <c r="C33" s="504" t="s">
        <v>1968</v>
      </c>
      <c r="D33" s="305"/>
      <c r="E33" s="503" t="s">
        <v>1971</v>
      </c>
    </row>
    <row r="34" spans="3:5" x14ac:dyDescent="0.25">
      <c r="C34" s="504" t="s">
        <v>1969</v>
      </c>
      <c r="D34" s="305"/>
      <c r="E34" s="503" t="s">
        <v>1972</v>
      </c>
    </row>
    <row r="35" spans="3:5" x14ac:dyDescent="0.25">
      <c r="C35" s="504" t="s">
        <v>1973</v>
      </c>
      <c r="D35" s="305"/>
      <c r="E35" s="503"/>
    </row>
    <row r="36" spans="3:5" x14ac:dyDescent="0.25">
      <c r="C36" s="284" t="s">
        <v>1964</v>
      </c>
      <c r="D36" s="305"/>
      <c r="E36" s="503" t="s">
        <v>1965</v>
      </c>
    </row>
    <row r="37" spans="3:5" x14ac:dyDescent="0.25">
      <c r="C37" s="284" t="s">
        <v>2076</v>
      </c>
      <c r="D37" s="305"/>
      <c r="E37" s="503"/>
    </row>
  </sheetData>
  <sheetProtection password="87E5" sheet="1" objects="1" scenarios="1"/>
  <mergeCells count="26">
    <mergeCell ref="H1:H4"/>
    <mergeCell ref="A1:F2"/>
    <mergeCell ref="A3:A4"/>
    <mergeCell ref="B3:B4"/>
    <mergeCell ref="C3:C4"/>
    <mergeCell ref="D3:D4"/>
    <mergeCell ref="E3:F4"/>
    <mergeCell ref="G1:G4"/>
    <mergeCell ref="M1:O4"/>
    <mergeCell ref="P1:P4"/>
    <mergeCell ref="Q1:Q4"/>
    <mergeCell ref="R1:R4"/>
    <mergeCell ref="I1:I4"/>
    <mergeCell ref="J1:J4"/>
    <mergeCell ref="K1:K4"/>
    <mergeCell ref="L1:L4"/>
    <mergeCell ref="S1:S4"/>
    <mergeCell ref="T1:T4"/>
    <mergeCell ref="Y1:Y4"/>
    <mergeCell ref="U3:U4"/>
    <mergeCell ref="V3:V4"/>
    <mergeCell ref="W3:W4"/>
    <mergeCell ref="X3:X4"/>
    <mergeCell ref="W2:X2"/>
    <mergeCell ref="U1:X1"/>
    <mergeCell ref="U2:V2"/>
  </mergeCells>
  <dataValidations count="1">
    <dataValidation type="list" allowBlank="1" showInputMessage="1" showErrorMessage="1" sqref="G5:G22">
      <formula1>kat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scale="67" fitToHeight="0" orientation="landscape" r:id="rId1"/>
  <headerFooter>
    <oddFooter>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"/>
  <sheetViews>
    <sheetView zoomScale="90" zoomScaleNormal="90" workbookViewId="0">
      <pane xSplit="7" ySplit="4" topLeftCell="H77" activePane="bottomRight" state="frozen"/>
      <selection pane="topRight" activeCell="H1" sqref="H1"/>
      <selection pane="bottomLeft" activeCell="A5" sqref="A5"/>
      <selection pane="bottomRight" activeCell="F100" sqref="F100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1.42578125" customWidth="1"/>
    <col min="5" max="5" width="9.140625" customWidth="1"/>
    <col min="6" max="6" width="3.85546875" bestFit="1" customWidth="1"/>
    <col min="7" max="7" width="13" customWidth="1"/>
    <col min="8" max="8" width="14.28515625" customWidth="1"/>
    <col min="9" max="9" width="9.140625" customWidth="1"/>
    <col min="10" max="10" width="9.85546875" customWidth="1"/>
    <col min="11" max="11" width="23.140625" customWidth="1"/>
    <col min="12" max="12" width="9.7109375" customWidth="1"/>
    <col min="13" max="13" width="7.7109375" customWidth="1"/>
    <col min="14" max="14" width="7.140625" customWidth="1"/>
    <col min="15" max="15" width="6" customWidth="1"/>
    <col min="16" max="16" width="7.28515625" customWidth="1"/>
    <col min="17" max="17" width="7.85546875" customWidth="1"/>
    <col min="18" max="18" width="8.7109375" customWidth="1"/>
    <col min="19" max="19" width="7.5703125" customWidth="1"/>
    <col min="20" max="20" width="7.140625" customWidth="1"/>
    <col min="21" max="21" width="7.85546875" customWidth="1"/>
    <col min="22" max="22" width="6" customWidth="1"/>
    <col min="23" max="23" width="7.28515625" customWidth="1"/>
    <col min="24" max="24" width="8.140625" customWidth="1"/>
    <col min="25" max="25" width="9.140625" customWidth="1"/>
  </cols>
  <sheetData>
    <row r="1" spans="1:25" s="15" customFormat="1" ht="15" customHeight="1" x14ac:dyDescent="0.25">
      <c r="A1" s="642" t="s">
        <v>124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25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25" s="14" customFormat="1" ht="32.25" customHeigh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5" ht="15.75" thickBot="1" x14ac:dyDescent="0.3">
      <c r="A4" s="661"/>
      <c r="B4" s="663"/>
      <c r="C4" s="663"/>
      <c r="D4" s="663"/>
      <c r="E4" s="663"/>
      <c r="F4" s="663"/>
      <c r="G4" s="620"/>
      <c r="H4" s="641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5" s="15" customFormat="1" ht="30" x14ac:dyDescent="0.25">
      <c r="A5" s="177" t="s">
        <v>0</v>
      </c>
      <c r="B5" s="177" t="s">
        <v>361</v>
      </c>
      <c r="C5" s="177" t="s">
        <v>435</v>
      </c>
      <c r="D5" s="193" t="s">
        <v>436</v>
      </c>
      <c r="E5" s="194">
        <v>3.9</v>
      </c>
      <c r="F5" s="177" t="s">
        <v>4</v>
      </c>
      <c r="G5" s="21" t="s">
        <v>437</v>
      </c>
      <c r="H5" s="180" t="s">
        <v>738</v>
      </c>
      <c r="I5" s="22">
        <v>1</v>
      </c>
      <c r="J5" s="22">
        <v>1</v>
      </c>
      <c r="K5" s="21" t="s">
        <v>1449</v>
      </c>
      <c r="L5" s="22" t="s">
        <v>81</v>
      </c>
      <c r="M5" s="22" t="s">
        <v>7</v>
      </c>
      <c r="N5" s="10">
        <v>875</v>
      </c>
      <c r="O5" s="10">
        <v>2125</v>
      </c>
      <c r="P5" s="11">
        <f t="shared" ref="P5:P68" si="0">N5*O5*0.000001</f>
        <v>1.859375</v>
      </c>
      <c r="Q5" s="24"/>
      <c r="R5" s="24"/>
      <c r="S5" s="25">
        <v>8.4499999999999993</v>
      </c>
      <c r="T5" s="24">
        <v>2.7</v>
      </c>
      <c r="U5" s="25"/>
      <c r="V5" s="24"/>
      <c r="W5" s="24"/>
      <c r="X5" s="26">
        <f>S5*T5-P5-Q5-Y5</f>
        <v>20.955625000000001</v>
      </c>
      <c r="Y5" s="24"/>
    </row>
    <row r="6" spans="1:25" s="15" customFormat="1" ht="30" x14ac:dyDescent="0.25">
      <c r="A6" s="139" t="s">
        <v>0</v>
      </c>
      <c r="B6" s="139" t="s">
        <v>361</v>
      </c>
      <c r="C6" s="139" t="s">
        <v>438</v>
      </c>
      <c r="D6" s="101" t="s">
        <v>439</v>
      </c>
      <c r="E6" s="190">
        <v>7.3</v>
      </c>
      <c r="F6" s="139" t="s">
        <v>4</v>
      </c>
      <c r="G6" s="5" t="s">
        <v>437</v>
      </c>
      <c r="H6" s="181" t="s">
        <v>738</v>
      </c>
      <c r="I6" s="6">
        <v>1</v>
      </c>
      <c r="J6" s="6">
        <v>1</v>
      </c>
      <c r="K6" s="21" t="s">
        <v>1449</v>
      </c>
      <c r="L6" s="6" t="s">
        <v>6</v>
      </c>
      <c r="M6" s="6" t="s">
        <v>7</v>
      </c>
      <c r="N6" s="31">
        <v>875</v>
      </c>
      <c r="O6" s="10">
        <v>2125</v>
      </c>
      <c r="P6" s="11">
        <f t="shared" si="0"/>
        <v>1.859375</v>
      </c>
      <c r="Q6" s="12"/>
      <c r="R6" s="12"/>
      <c r="S6" s="13">
        <v>11.38</v>
      </c>
      <c r="T6" s="12">
        <v>2.6</v>
      </c>
      <c r="U6" s="11">
        <f>S6*T6-P6-Q6-X6-Y6</f>
        <v>27.728625000000005</v>
      </c>
      <c r="V6" s="12"/>
      <c r="W6" s="12"/>
      <c r="X6" s="13"/>
      <c r="Y6" s="12"/>
    </row>
    <row r="7" spans="1:25" s="15" customFormat="1" ht="30" x14ac:dyDescent="0.25">
      <c r="A7" s="139" t="s">
        <v>0</v>
      </c>
      <c r="B7" s="139" t="s">
        <v>361</v>
      </c>
      <c r="C7" s="139" t="s">
        <v>440</v>
      </c>
      <c r="D7" s="101" t="s">
        <v>441</v>
      </c>
      <c r="E7" s="190">
        <v>9.8000000000000007</v>
      </c>
      <c r="F7" s="139" t="s">
        <v>4</v>
      </c>
      <c r="G7" s="5" t="s">
        <v>437</v>
      </c>
      <c r="H7" s="181" t="s">
        <v>738</v>
      </c>
      <c r="I7" s="6">
        <v>1</v>
      </c>
      <c r="J7" s="6">
        <v>1</v>
      </c>
      <c r="K7" s="21" t="s">
        <v>1449</v>
      </c>
      <c r="L7" s="6" t="s">
        <v>81</v>
      </c>
      <c r="M7" s="6" t="s">
        <v>388</v>
      </c>
      <c r="N7" s="31">
        <v>1500</v>
      </c>
      <c r="O7" s="10">
        <v>2125</v>
      </c>
      <c r="P7" s="11">
        <f t="shared" si="0"/>
        <v>3.1875</v>
      </c>
      <c r="Q7" s="12"/>
      <c r="R7" s="12"/>
      <c r="S7" s="13">
        <v>12.55</v>
      </c>
      <c r="T7" s="12">
        <v>2.6</v>
      </c>
      <c r="U7" s="25"/>
      <c r="V7" s="12"/>
      <c r="W7" s="12"/>
      <c r="X7" s="47">
        <f>S7*T7-P7-Q7-Y7</f>
        <v>29.442500000000003</v>
      </c>
      <c r="Y7" s="12"/>
    </row>
    <row r="8" spans="1:25" s="15" customFormat="1" ht="30" x14ac:dyDescent="0.25">
      <c r="A8" s="139" t="s">
        <v>0</v>
      </c>
      <c r="B8" s="139" t="s">
        <v>361</v>
      </c>
      <c r="C8" s="139" t="s">
        <v>442</v>
      </c>
      <c r="D8" s="101" t="s">
        <v>433</v>
      </c>
      <c r="E8" s="190">
        <v>16.600000000000001</v>
      </c>
      <c r="F8" s="139" t="s">
        <v>4</v>
      </c>
      <c r="G8" s="5" t="s">
        <v>437</v>
      </c>
      <c r="H8" s="181" t="s">
        <v>738</v>
      </c>
      <c r="I8" s="6">
        <v>1</v>
      </c>
      <c r="J8" s="6">
        <v>1</v>
      </c>
      <c r="K8" s="21" t="s">
        <v>1449</v>
      </c>
      <c r="L8" s="6" t="s">
        <v>10</v>
      </c>
      <c r="M8" s="6" t="s">
        <v>7</v>
      </c>
      <c r="N8" s="31">
        <v>1125</v>
      </c>
      <c r="O8" s="10">
        <v>2125</v>
      </c>
      <c r="P8" s="11">
        <f t="shared" si="0"/>
        <v>2.390625</v>
      </c>
      <c r="Q8" s="12">
        <v>3.45</v>
      </c>
      <c r="R8" s="12">
        <v>2.25</v>
      </c>
      <c r="S8" s="13">
        <v>17.05</v>
      </c>
      <c r="T8" s="12">
        <v>3</v>
      </c>
      <c r="U8" s="16">
        <f>S8*T8-P8-Q8-X8-Y8</f>
        <v>45.309375000000003</v>
      </c>
      <c r="V8" s="12"/>
      <c r="W8" s="12"/>
      <c r="X8" s="13"/>
      <c r="Y8" s="12"/>
    </row>
    <row r="9" spans="1:25" s="15" customFormat="1" ht="30" x14ac:dyDescent="0.25">
      <c r="A9" s="139" t="s">
        <v>0</v>
      </c>
      <c r="B9" s="139" t="s">
        <v>361</v>
      </c>
      <c r="C9" s="139" t="s">
        <v>443</v>
      </c>
      <c r="D9" s="101" t="s">
        <v>221</v>
      </c>
      <c r="E9" s="190">
        <v>7.9</v>
      </c>
      <c r="F9" s="139" t="s">
        <v>4</v>
      </c>
      <c r="G9" s="5" t="s">
        <v>437</v>
      </c>
      <c r="H9" s="181" t="s">
        <v>738</v>
      </c>
      <c r="I9" s="6">
        <v>1</v>
      </c>
      <c r="J9" s="6">
        <v>1</v>
      </c>
      <c r="K9" s="21" t="s">
        <v>1449</v>
      </c>
      <c r="L9" s="6" t="s">
        <v>10</v>
      </c>
      <c r="M9" s="6" t="s">
        <v>7</v>
      </c>
      <c r="N9" s="31">
        <v>1125</v>
      </c>
      <c r="O9" s="10">
        <v>2125</v>
      </c>
      <c r="P9" s="11">
        <f t="shared" si="0"/>
        <v>2.390625</v>
      </c>
      <c r="Q9" s="12">
        <v>3.45</v>
      </c>
      <c r="R9" s="12">
        <v>1.1299999999999999</v>
      </c>
      <c r="S9" s="13">
        <v>11.3</v>
      </c>
      <c r="T9" s="12">
        <v>3</v>
      </c>
      <c r="U9" s="16">
        <f>S9*T9-P9-Q9-X9-Y9</f>
        <v>28.059375000000006</v>
      </c>
      <c r="V9" s="12"/>
      <c r="W9" s="12"/>
      <c r="X9" s="13"/>
      <c r="Y9" s="12"/>
    </row>
    <row r="10" spans="1:25" s="15" customFormat="1" ht="30" x14ac:dyDescent="0.25">
      <c r="A10" s="1" t="s">
        <v>0</v>
      </c>
      <c r="B10" s="1" t="s">
        <v>361</v>
      </c>
      <c r="C10" s="1" t="s">
        <v>444</v>
      </c>
      <c r="D10" s="28" t="s">
        <v>445</v>
      </c>
      <c r="E10" s="29">
        <v>75.900000000000006</v>
      </c>
      <c r="F10" s="1" t="s">
        <v>4</v>
      </c>
      <c r="G10" s="5" t="s">
        <v>437</v>
      </c>
      <c r="H10" s="181" t="s">
        <v>738</v>
      </c>
      <c r="I10" s="6">
        <v>1</v>
      </c>
      <c r="J10" s="6">
        <v>1</v>
      </c>
      <c r="K10" s="21" t="s">
        <v>1449</v>
      </c>
      <c r="L10" s="6" t="s">
        <v>446</v>
      </c>
      <c r="M10" s="6"/>
      <c r="N10" s="31">
        <v>3600</v>
      </c>
      <c r="O10" s="10">
        <v>2125</v>
      </c>
      <c r="P10" s="11">
        <f t="shared" si="0"/>
        <v>7.6499999999999995</v>
      </c>
      <c r="Q10" s="12">
        <v>38.4</v>
      </c>
      <c r="R10" s="12"/>
      <c r="S10" s="13">
        <v>34.85</v>
      </c>
      <c r="T10" s="12">
        <v>4</v>
      </c>
      <c r="U10" s="13"/>
      <c r="V10" s="152">
        <f>S10*T10-P10-Q10-X10-Y10</f>
        <v>66.389999999999986</v>
      </c>
      <c r="W10" s="12"/>
      <c r="X10" s="13">
        <v>26.96</v>
      </c>
      <c r="Y10" s="12"/>
    </row>
    <row r="11" spans="1:25" s="15" customFormat="1" ht="30" x14ac:dyDescent="0.25">
      <c r="A11" s="139" t="s">
        <v>0</v>
      </c>
      <c r="B11" s="139" t="s">
        <v>361</v>
      </c>
      <c r="C11" s="139" t="s">
        <v>447</v>
      </c>
      <c r="D11" s="101" t="s">
        <v>338</v>
      </c>
      <c r="E11" s="190">
        <v>3.2</v>
      </c>
      <c r="F11" s="139" t="s">
        <v>4</v>
      </c>
      <c r="G11" s="5" t="s">
        <v>437</v>
      </c>
      <c r="H11" s="181" t="s">
        <v>738</v>
      </c>
      <c r="I11" s="6">
        <v>1</v>
      </c>
      <c r="J11" s="6">
        <v>1</v>
      </c>
      <c r="K11" s="21" t="s">
        <v>1449</v>
      </c>
      <c r="L11" s="6" t="s">
        <v>6</v>
      </c>
      <c r="M11" s="6" t="s">
        <v>7</v>
      </c>
      <c r="N11" s="31">
        <v>2625</v>
      </c>
      <c r="O11" s="10">
        <v>2125</v>
      </c>
      <c r="P11" s="11">
        <f t="shared" si="0"/>
        <v>5.578125</v>
      </c>
      <c r="Q11" s="12"/>
      <c r="R11" s="12"/>
      <c r="S11" s="13">
        <v>7.35</v>
      </c>
      <c r="T11" s="12">
        <v>2.6</v>
      </c>
      <c r="U11" s="13"/>
      <c r="V11" s="12"/>
      <c r="W11" s="12"/>
      <c r="X11" s="47">
        <f t="shared" ref="X11:X21" si="1">S11*T11-P11-Q11-Y11</f>
        <v>13.531874999999999</v>
      </c>
      <c r="Y11" s="12"/>
    </row>
    <row r="12" spans="1:25" s="15" customFormat="1" ht="30" x14ac:dyDescent="0.25">
      <c r="A12" s="139" t="s">
        <v>0</v>
      </c>
      <c r="B12" s="139" t="s">
        <v>361</v>
      </c>
      <c r="C12" s="139" t="s">
        <v>448</v>
      </c>
      <c r="D12" s="101" t="s">
        <v>65</v>
      </c>
      <c r="E12" s="190">
        <v>1.3</v>
      </c>
      <c r="F12" s="139" t="s">
        <v>4</v>
      </c>
      <c r="G12" s="5" t="s">
        <v>437</v>
      </c>
      <c r="H12" s="181" t="s">
        <v>738</v>
      </c>
      <c r="I12" s="6">
        <v>1</v>
      </c>
      <c r="J12" s="6">
        <v>1</v>
      </c>
      <c r="K12" s="21" t="s">
        <v>1449</v>
      </c>
      <c r="L12" s="6" t="s">
        <v>6</v>
      </c>
      <c r="M12" s="6" t="s">
        <v>7</v>
      </c>
      <c r="N12" s="31">
        <v>875</v>
      </c>
      <c r="O12" s="10">
        <v>2125</v>
      </c>
      <c r="P12" s="11">
        <f t="shared" si="0"/>
        <v>1.859375</v>
      </c>
      <c r="Q12" s="12"/>
      <c r="R12" s="12"/>
      <c r="S12" s="13">
        <v>4.57</v>
      </c>
      <c r="T12" s="12">
        <v>2.6</v>
      </c>
      <c r="U12" s="25"/>
      <c r="V12" s="12"/>
      <c r="W12" s="12"/>
      <c r="X12" s="47">
        <f t="shared" si="1"/>
        <v>10.022625000000001</v>
      </c>
      <c r="Y12" s="12"/>
    </row>
    <row r="13" spans="1:25" s="15" customFormat="1" ht="30" x14ac:dyDescent="0.25">
      <c r="A13" s="139" t="s">
        <v>0</v>
      </c>
      <c r="B13" s="139" t="s">
        <v>361</v>
      </c>
      <c r="C13" s="139" t="s">
        <v>449</v>
      </c>
      <c r="D13" s="101" t="s">
        <v>65</v>
      </c>
      <c r="E13" s="190">
        <v>1.3</v>
      </c>
      <c r="F13" s="139" t="s">
        <v>4</v>
      </c>
      <c r="G13" s="5" t="s">
        <v>437</v>
      </c>
      <c r="H13" s="181" t="s">
        <v>738</v>
      </c>
      <c r="I13" s="6">
        <v>1</v>
      </c>
      <c r="J13" s="6">
        <v>1</v>
      </c>
      <c r="K13" s="21" t="s">
        <v>1449</v>
      </c>
      <c r="L13" s="6" t="s">
        <v>6</v>
      </c>
      <c r="M13" s="6" t="s">
        <v>7</v>
      </c>
      <c r="N13" s="31">
        <v>875</v>
      </c>
      <c r="O13" s="10">
        <v>2125</v>
      </c>
      <c r="P13" s="11">
        <f t="shared" si="0"/>
        <v>1.859375</v>
      </c>
      <c r="Q13" s="12"/>
      <c r="R13" s="12"/>
      <c r="S13" s="13">
        <v>4.5999999999999996</v>
      </c>
      <c r="T13" s="12">
        <v>2.6</v>
      </c>
      <c r="U13" s="25"/>
      <c r="V13" s="12"/>
      <c r="W13" s="12"/>
      <c r="X13" s="47">
        <f t="shared" si="1"/>
        <v>10.100624999999999</v>
      </c>
      <c r="Y13" s="12"/>
    </row>
    <row r="14" spans="1:25" s="15" customFormat="1" ht="30" x14ac:dyDescent="0.25">
      <c r="A14" s="139" t="s">
        <v>0</v>
      </c>
      <c r="B14" s="139" t="s">
        <v>361</v>
      </c>
      <c r="C14" s="139" t="s">
        <v>450</v>
      </c>
      <c r="D14" s="101" t="s">
        <v>162</v>
      </c>
      <c r="E14" s="190">
        <v>33.9</v>
      </c>
      <c r="F14" s="139" t="s">
        <v>4</v>
      </c>
      <c r="G14" s="5" t="s">
        <v>437</v>
      </c>
      <c r="H14" s="181" t="s">
        <v>738</v>
      </c>
      <c r="I14" s="6">
        <v>1</v>
      </c>
      <c r="J14" s="6">
        <v>1</v>
      </c>
      <c r="K14" s="21" t="s">
        <v>1449</v>
      </c>
      <c r="L14" s="6" t="s">
        <v>6</v>
      </c>
      <c r="M14" s="6" t="s">
        <v>388</v>
      </c>
      <c r="N14" s="31">
        <v>1500</v>
      </c>
      <c r="O14" s="10">
        <v>2125</v>
      </c>
      <c r="P14" s="11">
        <f t="shared" si="0"/>
        <v>3.1875</v>
      </c>
      <c r="Q14" s="12">
        <v>3.56</v>
      </c>
      <c r="R14" s="12">
        <v>1.1299999999999999</v>
      </c>
      <c r="S14" s="13">
        <v>24.43</v>
      </c>
      <c r="T14" s="12">
        <v>3</v>
      </c>
      <c r="U14" s="25"/>
      <c r="V14" s="12"/>
      <c r="W14" s="12"/>
      <c r="X14" s="47">
        <f t="shared" si="1"/>
        <v>66.54249999999999</v>
      </c>
      <c r="Y14" s="12"/>
    </row>
    <row r="15" spans="1:25" s="15" customFormat="1" ht="30" x14ac:dyDescent="0.25">
      <c r="A15" s="139" t="s">
        <v>0</v>
      </c>
      <c r="B15" s="139" t="s">
        <v>361</v>
      </c>
      <c r="C15" s="139" t="s">
        <v>451</v>
      </c>
      <c r="D15" s="101" t="s">
        <v>162</v>
      </c>
      <c r="E15" s="190">
        <v>33.6</v>
      </c>
      <c r="F15" s="139" t="s">
        <v>4</v>
      </c>
      <c r="G15" s="5" t="s">
        <v>437</v>
      </c>
      <c r="H15" s="181" t="s">
        <v>738</v>
      </c>
      <c r="I15" s="6">
        <v>1</v>
      </c>
      <c r="J15" s="6">
        <v>1</v>
      </c>
      <c r="K15" s="21" t="s">
        <v>1449</v>
      </c>
      <c r="L15" s="6" t="s">
        <v>6</v>
      </c>
      <c r="M15" s="6" t="s">
        <v>388</v>
      </c>
      <c r="N15" s="31">
        <v>1500</v>
      </c>
      <c r="O15" s="10">
        <v>2125</v>
      </c>
      <c r="P15" s="11">
        <f t="shared" si="0"/>
        <v>3.1875</v>
      </c>
      <c r="Q15" s="12">
        <v>5.34</v>
      </c>
      <c r="R15" s="12">
        <v>1.1299999999999999</v>
      </c>
      <c r="S15" s="13">
        <v>24.36</v>
      </c>
      <c r="T15" s="12">
        <v>3</v>
      </c>
      <c r="U15" s="13"/>
      <c r="V15" s="12"/>
      <c r="W15" s="12"/>
      <c r="X15" s="47">
        <f t="shared" si="1"/>
        <v>64.552499999999995</v>
      </c>
      <c r="Y15" s="12"/>
    </row>
    <row r="16" spans="1:25" s="15" customFormat="1" ht="30" x14ac:dyDescent="0.25">
      <c r="A16" s="139" t="s">
        <v>0</v>
      </c>
      <c r="B16" s="139" t="s">
        <v>361</v>
      </c>
      <c r="C16" s="139" t="s">
        <v>452</v>
      </c>
      <c r="D16" s="101" t="s">
        <v>162</v>
      </c>
      <c r="E16" s="190">
        <v>33.4</v>
      </c>
      <c r="F16" s="139" t="s">
        <v>4</v>
      </c>
      <c r="G16" s="5" t="s">
        <v>437</v>
      </c>
      <c r="H16" s="181" t="s">
        <v>738</v>
      </c>
      <c r="I16" s="6">
        <v>1</v>
      </c>
      <c r="J16" s="6">
        <v>1</v>
      </c>
      <c r="K16" s="21" t="s">
        <v>1449</v>
      </c>
      <c r="L16" s="6" t="s">
        <v>6</v>
      </c>
      <c r="M16" s="6" t="s">
        <v>388</v>
      </c>
      <c r="N16" s="31">
        <v>1500</v>
      </c>
      <c r="O16" s="10">
        <v>2125</v>
      </c>
      <c r="P16" s="11">
        <f t="shared" si="0"/>
        <v>3.1875</v>
      </c>
      <c r="Q16" s="12">
        <v>5.34</v>
      </c>
      <c r="R16" s="12">
        <v>1.1299999999999999</v>
      </c>
      <c r="S16" s="13">
        <v>24.41</v>
      </c>
      <c r="T16" s="12">
        <v>3</v>
      </c>
      <c r="U16" s="13"/>
      <c r="V16" s="12"/>
      <c r="W16" s="12"/>
      <c r="X16" s="47">
        <f t="shared" si="1"/>
        <v>64.702500000000001</v>
      </c>
      <c r="Y16" s="12"/>
    </row>
    <row r="17" spans="1:25" s="15" customFormat="1" ht="30" x14ac:dyDescent="0.25">
      <c r="A17" s="139" t="s">
        <v>0</v>
      </c>
      <c r="B17" s="139" t="s">
        <v>361</v>
      </c>
      <c r="C17" s="139" t="s">
        <v>453</v>
      </c>
      <c r="D17" s="101" t="s">
        <v>162</v>
      </c>
      <c r="E17" s="190">
        <v>33.9</v>
      </c>
      <c r="F17" s="139" t="s">
        <v>4</v>
      </c>
      <c r="G17" s="5" t="s">
        <v>437</v>
      </c>
      <c r="H17" s="181" t="s">
        <v>738</v>
      </c>
      <c r="I17" s="6">
        <v>1</v>
      </c>
      <c r="J17" s="6">
        <v>1</v>
      </c>
      <c r="K17" s="21" t="s">
        <v>1449</v>
      </c>
      <c r="L17" s="6" t="s">
        <v>6</v>
      </c>
      <c r="M17" s="6" t="s">
        <v>388</v>
      </c>
      <c r="N17" s="31">
        <v>1500</v>
      </c>
      <c r="O17" s="10">
        <v>2125</v>
      </c>
      <c r="P17" s="11">
        <f t="shared" si="0"/>
        <v>3.1875</v>
      </c>
      <c r="Q17" s="12">
        <v>3.56</v>
      </c>
      <c r="R17" s="12">
        <v>1.1299999999999999</v>
      </c>
      <c r="S17" s="13">
        <v>25.18</v>
      </c>
      <c r="T17" s="12">
        <v>3</v>
      </c>
      <c r="U17" s="13"/>
      <c r="V17" s="12"/>
      <c r="W17" s="12"/>
      <c r="X17" s="47">
        <f t="shared" si="1"/>
        <v>68.79249999999999</v>
      </c>
      <c r="Y17" s="12"/>
    </row>
    <row r="18" spans="1:25" s="15" customFormat="1" ht="30" x14ac:dyDescent="0.25">
      <c r="A18" s="139" t="s">
        <v>0</v>
      </c>
      <c r="B18" s="139" t="s">
        <v>361</v>
      </c>
      <c r="C18" s="139" t="s">
        <v>454</v>
      </c>
      <c r="D18" s="101" t="s">
        <v>52</v>
      </c>
      <c r="E18" s="190">
        <v>1.4</v>
      </c>
      <c r="F18" s="139" t="s">
        <v>4</v>
      </c>
      <c r="G18" s="5" t="s">
        <v>437</v>
      </c>
      <c r="H18" s="181" t="s">
        <v>738</v>
      </c>
      <c r="I18" s="6">
        <v>1</v>
      </c>
      <c r="J18" s="6">
        <v>1</v>
      </c>
      <c r="K18" s="21" t="s">
        <v>1449</v>
      </c>
      <c r="L18" s="6" t="s">
        <v>6</v>
      </c>
      <c r="M18" s="6" t="s">
        <v>7</v>
      </c>
      <c r="N18" s="31">
        <v>1750</v>
      </c>
      <c r="O18" s="10">
        <v>2125</v>
      </c>
      <c r="P18" s="11">
        <f t="shared" si="0"/>
        <v>3.71875</v>
      </c>
      <c r="Q18" s="12"/>
      <c r="R18" s="12"/>
      <c r="S18" s="13">
        <v>4.8</v>
      </c>
      <c r="T18" s="12">
        <v>2.6</v>
      </c>
      <c r="U18" s="25"/>
      <c r="V18" s="12"/>
      <c r="W18" s="12"/>
      <c r="X18" s="47">
        <f t="shared" si="1"/>
        <v>8.7612500000000004</v>
      </c>
      <c r="Y18" s="12"/>
    </row>
    <row r="19" spans="1:25" s="15" customFormat="1" ht="30" x14ac:dyDescent="0.25">
      <c r="A19" s="139" t="s">
        <v>0</v>
      </c>
      <c r="B19" s="139" t="s">
        <v>361</v>
      </c>
      <c r="C19" s="139" t="s">
        <v>455</v>
      </c>
      <c r="D19" s="101" t="s">
        <v>335</v>
      </c>
      <c r="E19" s="190">
        <v>3.2</v>
      </c>
      <c r="F19" s="139" t="s">
        <v>4</v>
      </c>
      <c r="G19" s="5" t="s">
        <v>437</v>
      </c>
      <c r="H19" s="181" t="s">
        <v>738</v>
      </c>
      <c r="I19" s="6">
        <v>1</v>
      </c>
      <c r="J19" s="6">
        <v>1</v>
      </c>
      <c r="K19" s="21" t="s">
        <v>1449</v>
      </c>
      <c r="L19" s="6" t="s">
        <v>6</v>
      </c>
      <c r="M19" s="6" t="s">
        <v>7</v>
      </c>
      <c r="N19" s="31">
        <v>1750</v>
      </c>
      <c r="O19" s="10">
        <v>2125</v>
      </c>
      <c r="P19" s="11">
        <f t="shared" si="0"/>
        <v>3.71875</v>
      </c>
      <c r="Q19" s="12"/>
      <c r="R19" s="12"/>
      <c r="S19" s="13">
        <v>7.35</v>
      </c>
      <c r="T19" s="12">
        <v>2.6</v>
      </c>
      <c r="U19" s="25"/>
      <c r="V19" s="12"/>
      <c r="W19" s="12"/>
      <c r="X19" s="47">
        <f t="shared" si="1"/>
        <v>15.391249999999999</v>
      </c>
      <c r="Y19" s="12"/>
    </row>
    <row r="20" spans="1:25" s="15" customFormat="1" ht="30" x14ac:dyDescent="0.25">
      <c r="A20" s="139" t="s">
        <v>0</v>
      </c>
      <c r="B20" s="139" t="s">
        <v>361</v>
      </c>
      <c r="C20" s="139" t="s">
        <v>456</v>
      </c>
      <c r="D20" s="101" t="s">
        <v>65</v>
      </c>
      <c r="E20" s="190">
        <v>1.2</v>
      </c>
      <c r="F20" s="139" t="s">
        <v>4</v>
      </c>
      <c r="G20" s="5" t="s">
        <v>437</v>
      </c>
      <c r="H20" s="181" t="s">
        <v>738</v>
      </c>
      <c r="I20" s="6">
        <v>1</v>
      </c>
      <c r="J20" s="6">
        <v>1</v>
      </c>
      <c r="K20" s="21" t="s">
        <v>1449</v>
      </c>
      <c r="L20" s="6" t="s">
        <v>6</v>
      </c>
      <c r="M20" s="6" t="s">
        <v>7</v>
      </c>
      <c r="N20" s="31">
        <v>875</v>
      </c>
      <c r="O20" s="10">
        <v>2125</v>
      </c>
      <c r="P20" s="11">
        <f t="shared" si="0"/>
        <v>1.859375</v>
      </c>
      <c r="Q20" s="12"/>
      <c r="R20" s="12"/>
      <c r="S20" s="13">
        <v>4.4000000000000004</v>
      </c>
      <c r="T20" s="12">
        <v>2.6</v>
      </c>
      <c r="U20" s="13"/>
      <c r="V20" s="12"/>
      <c r="W20" s="12"/>
      <c r="X20" s="47">
        <f t="shared" si="1"/>
        <v>9.5806250000000013</v>
      </c>
      <c r="Y20" s="12"/>
    </row>
    <row r="21" spans="1:25" s="15" customFormat="1" ht="30" x14ac:dyDescent="0.25">
      <c r="A21" s="139" t="s">
        <v>0</v>
      </c>
      <c r="B21" s="139" t="s">
        <v>361</v>
      </c>
      <c r="C21" s="139" t="s">
        <v>457</v>
      </c>
      <c r="D21" s="101" t="s">
        <v>458</v>
      </c>
      <c r="E21" s="190">
        <v>45.4</v>
      </c>
      <c r="F21" s="139" t="s">
        <v>4</v>
      </c>
      <c r="G21" s="5" t="s">
        <v>437</v>
      </c>
      <c r="H21" s="181" t="s">
        <v>738</v>
      </c>
      <c r="I21" s="6">
        <v>1</v>
      </c>
      <c r="J21" s="6">
        <v>1</v>
      </c>
      <c r="K21" s="21" t="s">
        <v>1449</v>
      </c>
      <c r="L21" s="6" t="s">
        <v>6</v>
      </c>
      <c r="M21" s="6" t="s">
        <v>388</v>
      </c>
      <c r="N21" s="31">
        <v>5600</v>
      </c>
      <c r="O21" s="10">
        <v>2125</v>
      </c>
      <c r="P21" s="11">
        <f t="shared" si="0"/>
        <v>11.899999999999999</v>
      </c>
      <c r="Q21" s="12"/>
      <c r="R21" s="12"/>
      <c r="S21" s="13">
        <v>30.3</v>
      </c>
      <c r="T21" s="12">
        <v>3</v>
      </c>
      <c r="U21" s="13"/>
      <c r="V21" s="12"/>
      <c r="W21" s="12"/>
      <c r="X21" s="47">
        <f t="shared" si="1"/>
        <v>79</v>
      </c>
      <c r="Y21" s="12"/>
    </row>
    <row r="22" spans="1:25" s="15" customFormat="1" ht="30" x14ac:dyDescent="0.25">
      <c r="A22" s="139" t="s">
        <v>0</v>
      </c>
      <c r="B22" s="139" t="s">
        <v>361</v>
      </c>
      <c r="C22" s="139" t="s">
        <v>459</v>
      </c>
      <c r="D22" s="101" t="s">
        <v>460</v>
      </c>
      <c r="E22" s="190">
        <v>10.8</v>
      </c>
      <c r="F22" s="139" t="s">
        <v>4</v>
      </c>
      <c r="G22" s="5" t="s">
        <v>437</v>
      </c>
      <c r="H22" s="181" t="s">
        <v>738</v>
      </c>
      <c r="I22" s="6">
        <v>1</v>
      </c>
      <c r="J22" s="6">
        <v>1</v>
      </c>
      <c r="K22" s="21" t="s">
        <v>1449</v>
      </c>
      <c r="L22" s="6" t="s">
        <v>6</v>
      </c>
      <c r="M22" s="6"/>
      <c r="N22" s="31"/>
      <c r="O22" s="10"/>
      <c r="P22" s="11">
        <f t="shared" si="0"/>
        <v>0</v>
      </c>
      <c r="Q22" s="12"/>
      <c r="R22" s="12"/>
      <c r="S22" s="13">
        <v>9.93</v>
      </c>
      <c r="T22" s="12">
        <v>2.5</v>
      </c>
      <c r="U22" s="11">
        <f>S22*T22-P22-Q22-X22-Y22</f>
        <v>24.824999999999999</v>
      </c>
      <c r="V22" s="12"/>
      <c r="W22" s="12"/>
      <c r="X22" s="13"/>
      <c r="Y22" s="12"/>
    </row>
    <row r="23" spans="1:25" s="15" customFormat="1" ht="30" x14ac:dyDescent="0.25">
      <c r="A23" s="139" t="s">
        <v>0</v>
      </c>
      <c r="B23" s="139" t="s">
        <v>361</v>
      </c>
      <c r="C23" s="139" t="s">
        <v>461</v>
      </c>
      <c r="D23" s="101" t="s">
        <v>460</v>
      </c>
      <c r="E23" s="190">
        <v>6.7</v>
      </c>
      <c r="F23" s="139" t="s">
        <v>4</v>
      </c>
      <c r="G23" s="5" t="s">
        <v>437</v>
      </c>
      <c r="H23" s="181" t="s">
        <v>738</v>
      </c>
      <c r="I23" s="6">
        <v>1</v>
      </c>
      <c r="J23" s="6">
        <v>1</v>
      </c>
      <c r="K23" s="21" t="s">
        <v>1449</v>
      </c>
      <c r="L23" s="6" t="s">
        <v>6</v>
      </c>
      <c r="M23" s="6"/>
      <c r="N23" s="31"/>
      <c r="O23" s="10"/>
      <c r="P23" s="11">
        <f t="shared" si="0"/>
        <v>0</v>
      </c>
      <c r="Q23" s="12"/>
      <c r="R23" s="12"/>
      <c r="S23" s="13">
        <v>7.4</v>
      </c>
      <c r="T23" s="12">
        <v>3</v>
      </c>
      <c r="U23" s="16">
        <f>S23*T23-P23-Q23-X23-Y23</f>
        <v>22.200000000000003</v>
      </c>
      <c r="V23" s="12"/>
      <c r="W23" s="12"/>
      <c r="X23" s="13"/>
      <c r="Y23" s="12"/>
    </row>
    <row r="24" spans="1:25" s="15" customFormat="1" ht="30" x14ac:dyDescent="0.25">
      <c r="A24" s="139" t="s">
        <v>0</v>
      </c>
      <c r="B24" s="139" t="s">
        <v>361</v>
      </c>
      <c r="C24" s="139" t="s">
        <v>462</v>
      </c>
      <c r="D24" s="101" t="s">
        <v>463</v>
      </c>
      <c r="E24" s="190">
        <v>41.7</v>
      </c>
      <c r="F24" s="139" t="s">
        <v>4</v>
      </c>
      <c r="G24" s="5" t="s">
        <v>437</v>
      </c>
      <c r="H24" s="181" t="s">
        <v>738</v>
      </c>
      <c r="I24" s="6">
        <v>1</v>
      </c>
      <c r="J24" s="6">
        <v>1</v>
      </c>
      <c r="K24" s="21" t="s">
        <v>1449</v>
      </c>
      <c r="L24" s="6" t="s">
        <v>10</v>
      </c>
      <c r="M24" s="6" t="s">
        <v>388</v>
      </c>
      <c r="N24" s="31">
        <v>4500</v>
      </c>
      <c r="O24" s="10">
        <v>2125</v>
      </c>
      <c r="P24" s="11">
        <f t="shared" si="0"/>
        <v>9.5625</v>
      </c>
      <c r="Q24" s="12"/>
      <c r="R24" s="12"/>
      <c r="S24" s="13">
        <v>25.43</v>
      </c>
      <c r="T24" s="12">
        <v>3</v>
      </c>
      <c r="U24" s="13"/>
      <c r="V24" s="12"/>
      <c r="W24" s="12"/>
      <c r="X24" s="47">
        <f>S24*T24-P24-Q24-Y24</f>
        <v>66.727499999999992</v>
      </c>
      <c r="Y24" s="12"/>
    </row>
    <row r="25" spans="1:25" s="15" customFormat="1" ht="30" x14ac:dyDescent="0.25">
      <c r="A25" s="139" t="s">
        <v>0</v>
      </c>
      <c r="B25" s="139" t="s">
        <v>361</v>
      </c>
      <c r="C25" s="139" t="s">
        <v>464</v>
      </c>
      <c r="D25" s="101" t="s">
        <v>463</v>
      </c>
      <c r="E25" s="190">
        <v>26.3</v>
      </c>
      <c r="F25" s="139" t="s">
        <v>4</v>
      </c>
      <c r="G25" s="5" t="s">
        <v>437</v>
      </c>
      <c r="H25" s="181" t="s">
        <v>738</v>
      </c>
      <c r="I25" s="6">
        <v>1</v>
      </c>
      <c r="J25" s="6">
        <v>1</v>
      </c>
      <c r="K25" s="21" t="s">
        <v>1449</v>
      </c>
      <c r="L25" s="6" t="s">
        <v>10</v>
      </c>
      <c r="M25" s="6" t="s">
        <v>388</v>
      </c>
      <c r="N25" s="31">
        <v>3700</v>
      </c>
      <c r="O25" s="10">
        <v>2125</v>
      </c>
      <c r="P25" s="11">
        <f t="shared" si="0"/>
        <v>7.8624999999999998</v>
      </c>
      <c r="Q25" s="12"/>
      <c r="R25" s="12"/>
      <c r="S25" s="13">
        <v>20.89</v>
      </c>
      <c r="T25" s="12">
        <v>3</v>
      </c>
      <c r="U25" s="13"/>
      <c r="V25" s="12"/>
      <c r="W25" s="12"/>
      <c r="X25" s="47">
        <f>S25*T25-P25-Q25-Y25</f>
        <v>54.807500000000005</v>
      </c>
      <c r="Y25" s="12"/>
    </row>
    <row r="26" spans="1:25" s="15" customFormat="1" ht="30" x14ac:dyDescent="0.25">
      <c r="A26" s="139" t="s">
        <v>0</v>
      </c>
      <c r="B26" s="139" t="s">
        <v>361</v>
      </c>
      <c r="C26" s="139" t="s">
        <v>465</v>
      </c>
      <c r="D26" s="101" t="s">
        <v>1849</v>
      </c>
      <c r="E26" s="190">
        <v>37.9</v>
      </c>
      <c r="F26" s="139" t="s">
        <v>4</v>
      </c>
      <c r="G26" s="5" t="s">
        <v>437</v>
      </c>
      <c r="H26" s="181" t="s">
        <v>738</v>
      </c>
      <c r="I26" s="6">
        <v>1</v>
      </c>
      <c r="J26" s="6">
        <v>1</v>
      </c>
      <c r="K26" s="21" t="s">
        <v>1449</v>
      </c>
      <c r="L26" s="6" t="s">
        <v>10</v>
      </c>
      <c r="M26" s="6" t="s">
        <v>388</v>
      </c>
      <c r="N26" s="31">
        <v>4100</v>
      </c>
      <c r="O26" s="10">
        <v>2125</v>
      </c>
      <c r="P26" s="11">
        <f t="shared" si="0"/>
        <v>8.7125000000000004</v>
      </c>
      <c r="Q26" s="12"/>
      <c r="R26" s="12"/>
      <c r="S26" s="13">
        <v>23.85</v>
      </c>
      <c r="T26" s="12">
        <v>3</v>
      </c>
      <c r="U26" s="13"/>
      <c r="V26" s="152">
        <f>S26*T26-P26-Q26-X26-Y26</f>
        <v>62.837500000000013</v>
      </c>
      <c r="W26" s="12"/>
      <c r="X26" s="13"/>
      <c r="Y26" s="12"/>
    </row>
    <row r="27" spans="1:25" s="15" customFormat="1" ht="30" x14ac:dyDescent="0.25">
      <c r="A27" s="139" t="s">
        <v>0</v>
      </c>
      <c r="B27" s="139" t="s">
        <v>361</v>
      </c>
      <c r="C27" s="139" t="s">
        <v>466</v>
      </c>
      <c r="D27" s="101" t="s">
        <v>154</v>
      </c>
      <c r="E27" s="190">
        <v>12.3</v>
      </c>
      <c r="F27" s="139" t="s">
        <v>4</v>
      </c>
      <c r="G27" s="5" t="s">
        <v>437</v>
      </c>
      <c r="H27" s="181" t="s">
        <v>738</v>
      </c>
      <c r="I27" s="6">
        <v>1</v>
      </c>
      <c r="J27" s="6">
        <v>1</v>
      </c>
      <c r="K27" s="21" t="s">
        <v>1449</v>
      </c>
      <c r="L27" s="6" t="s">
        <v>10</v>
      </c>
      <c r="M27" s="6" t="s">
        <v>388</v>
      </c>
      <c r="N27" s="31">
        <v>4100</v>
      </c>
      <c r="O27" s="10">
        <v>2125</v>
      </c>
      <c r="P27" s="11">
        <f t="shared" si="0"/>
        <v>8.7125000000000004</v>
      </c>
      <c r="Q27" s="12"/>
      <c r="R27" s="12"/>
      <c r="S27" s="13">
        <v>12.25</v>
      </c>
      <c r="T27" s="12">
        <v>3</v>
      </c>
      <c r="U27" s="13"/>
      <c r="V27" s="152">
        <f>S27*T27-P27-Q27-X27-Y27</f>
        <v>26.537500000000001</v>
      </c>
      <c r="W27" s="12"/>
      <c r="X27" s="13">
        <v>1.5</v>
      </c>
      <c r="Y27" s="12"/>
    </row>
    <row r="28" spans="1:25" s="15" customFormat="1" ht="30" x14ac:dyDescent="0.25">
      <c r="A28" s="139" t="s">
        <v>0</v>
      </c>
      <c r="B28" s="139" t="s">
        <v>361</v>
      </c>
      <c r="C28" s="139" t="s">
        <v>467</v>
      </c>
      <c r="D28" s="101" t="s">
        <v>468</v>
      </c>
      <c r="E28" s="190">
        <v>5.0999999999999996</v>
      </c>
      <c r="F28" s="139" t="s">
        <v>4</v>
      </c>
      <c r="G28" s="5" t="s">
        <v>437</v>
      </c>
      <c r="H28" s="181" t="s">
        <v>738</v>
      </c>
      <c r="I28" s="6">
        <v>1</v>
      </c>
      <c r="J28" s="6">
        <v>1</v>
      </c>
      <c r="K28" s="21" t="s">
        <v>1449</v>
      </c>
      <c r="L28" s="6" t="s">
        <v>10</v>
      </c>
      <c r="M28" s="6" t="s">
        <v>388</v>
      </c>
      <c r="N28" s="31">
        <v>2200</v>
      </c>
      <c r="O28" s="10">
        <v>2125</v>
      </c>
      <c r="P28" s="11">
        <f t="shared" si="0"/>
        <v>4.6749999999999998</v>
      </c>
      <c r="Q28" s="12"/>
      <c r="R28" s="12"/>
      <c r="S28" s="13">
        <v>9.15</v>
      </c>
      <c r="T28" s="12">
        <v>3</v>
      </c>
      <c r="U28" s="13"/>
      <c r="V28" s="12"/>
      <c r="W28" s="12"/>
      <c r="X28" s="47">
        <f>S28*T28-P28-Q28-Y28</f>
        <v>22.775000000000002</v>
      </c>
      <c r="Y28" s="12"/>
    </row>
    <row r="29" spans="1:25" s="15" customFormat="1" ht="30" x14ac:dyDescent="0.25">
      <c r="A29" s="139" t="s">
        <v>0</v>
      </c>
      <c r="B29" s="139" t="s">
        <v>361</v>
      </c>
      <c r="C29" s="139" t="s">
        <v>469</v>
      </c>
      <c r="D29" s="101" t="s">
        <v>255</v>
      </c>
      <c r="E29" s="190">
        <v>8.4</v>
      </c>
      <c r="F29" s="139" t="s">
        <v>4</v>
      </c>
      <c r="G29" s="5" t="s">
        <v>437</v>
      </c>
      <c r="H29" s="181" t="s">
        <v>738</v>
      </c>
      <c r="I29" s="6">
        <v>1</v>
      </c>
      <c r="J29" s="6">
        <v>1</v>
      </c>
      <c r="K29" s="21" t="s">
        <v>1449</v>
      </c>
      <c r="L29" s="6" t="s">
        <v>10</v>
      </c>
      <c r="M29" s="6" t="s">
        <v>388</v>
      </c>
      <c r="N29" s="31">
        <v>1100</v>
      </c>
      <c r="O29" s="10">
        <v>2125</v>
      </c>
      <c r="P29" s="11">
        <f t="shared" si="0"/>
        <v>2.3374999999999999</v>
      </c>
      <c r="Q29" s="12"/>
      <c r="R29" s="12"/>
      <c r="S29" s="13">
        <v>10</v>
      </c>
      <c r="T29" s="12">
        <v>3</v>
      </c>
      <c r="U29" s="13"/>
      <c r="V29" s="152">
        <f>S29*T29-P29-Q29-X29-Y29</f>
        <v>27.662500000000001</v>
      </c>
      <c r="W29" s="12"/>
      <c r="X29" s="13"/>
      <c r="Y29" s="12"/>
    </row>
    <row r="30" spans="1:25" s="15" customFormat="1" ht="30" x14ac:dyDescent="0.25">
      <c r="A30" s="139" t="s">
        <v>0</v>
      </c>
      <c r="B30" s="139" t="s">
        <v>361</v>
      </c>
      <c r="C30" s="139" t="s">
        <v>470</v>
      </c>
      <c r="D30" s="101" t="s">
        <v>471</v>
      </c>
      <c r="E30" s="190">
        <v>40.5</v>
      </c>
      <c r="F30" s="139" t="s">
        <v>4</v>
      </c>
      <c r="G30" s="5" t="s">
        <v>437</v>
      </c>
      <c r="H30" s="181" t="s">
        <v>738</v>
      </c>
      <c r="I30" s="6">
        <v>1</v>
      </c>
      <c r="J30" s="6">
        <v>1</v>
      </c>
      <c r="K30" s="21" t="s">
        <v>1449</v>
      </c>
      <c r="L30" s="6" t="s">
        <v>6</v>
      </c>
      <c r="M30" s="6" t="s">
        <v>7</v>
      </c>
      <c r="N30" s="31">
        <v>13325</v>
      </c>
      <c r="O30" s="10">
        <v>2125</v>
      </c>
      <c r="P30" s="11">
        <f t="shared" si="0"/>
        <v>28.315624999999997</v>
      </c>
      <c r="Q30" s="12"/>
      <c r="R30" s="12"/>
      <c r="S30" s="13">
        <v>30.82</v>
      </c>
      <c r="T30" s="12">
        <v>2.7</v>
      </c>
      <c r="U30" s="11">
        <f>S30*T30-P30-Q30-X30-Y30</f>
        <v>54.898375000000016</v>
      </c>
      <c r="V30" s="12"/>
      <c r="W30" s="12"/>
      <c r="X30" s="13"/>
      <c r="Y30" s="12"/>
    </row>
    <row r="31" spans="1:25" s="191" customFormat="1" ht="30" x14ac:dyDescent="0.25">
      <c r="A31" s="139" t="s">
        <v>0</v>
      </c>
      <c r="B31" s="139" t="s">
        <v>361</v>
      </c>
      <c r="C31" s="139" t="s">
        <v>472</v>
      </c>
      <c r="D31" s="101" t="s">
        <v>12</v>
      </c>
      <c r="E31" s="190">
        <v>122.6</v>
      </c>
      <c r="F31" s="139" t="s">
        <v>4</v>
      </c>
      <c r="G31" s="5" t="s">
        <v>437</v>
      </c>
      <c r="H31" s="181" t="s">
        <v>738</v>
      </c>
      <c r="I31" s="6">
        <v>1</v>
      </c>
      <c r="J31" s="6">
        <v>1</v>
      </c>
      <c r="K31" s="21" t="s">
        <v>1449</v>
      </c>
      <c r="L31" s="6" t="s">
        <v>6</v>
      </c>
      <c r="M31" s="6" t="s">
        <v>388</v>
      </c>
      <c r="N31" s="31">
        <v>19650</v>
      </c>
      <c r="O31" s="10">
        <v>2125</v>
      </c>
      <c r="P31" s="11">
        <f t="shared" si="0"/>
        <v>41.756250000000001</v>
      </c>
      <c r="Q31" s="12">
        <v>8.2799999999999994</v>
      </c>
      <c r="R31" s="12"/>
      <c r="S31" s="13">
        <v>75.73</v>
      </c>
      <c r="T31" s="12">
        <v>3</v>
      </c>
      <c r="U31" s="16">
        <f>S31*T31-P31-Q31-X31-Y31</f>
        <v>173.97375</v>
      </c>
      <c r="V31" s="12"/>
      <c r="W31" s="12"/>
      <c r="X31" s="13"/>
      <c r="Y31" s="12">
        <v>3.18</v>
      </c>
    </row>
    <row r="32" spans="1:25" s="191" customFormat="1" ht="30" x14ac:dyDescent="0.25">
      <c r="A32" s="139" t="s">
        <v>0</v>
      </c>
      <c r="B32" s="139" t="s">
        <v>361</v>
      </c>
      <c r="C32" s="139" t="s">
        <v>473</v>
      </c>
      <c r="D32" s="101" t="s">
        <v>460</v>
      </c>
      <c r="E32" s="190">
        <v>6.1</v>
      </c>
      <c r="F32" s="139" t="s">
        <v>4</v>
      </c>
      <c r="G32" s="5" t="s">
        <v>437</v>
      </c>
      <c r="H32" s="181" t="s">
        <v>738</v>
      </c>
      <c r="I32" s="6">
        <v>1</v>
      </c>
      <c r="J32" s="6">
        <v>1</v>
      </c>
      <c r="K32" s="21" t="s">
        <v>1449</v>
      </c>
      <c r="L32" s="6" t="s">
        <v>6</v>
      </c>
      <c r="M32" s="6"/>
      <c r="N32" s="31"/>
      <c r="O32" s="10"/>
      <c r="P32" s="11">
        <f t="shared" si="0"/>
        <v>0</v>
      </c>
      <c r="Q32" s="12"/>
      <c r="R32" s="12"/>
      <c r="S32" s="13">
        <v>7.13</v>
      </c>
      <c r="T32" s="12">
        <v>2.7</v>
      </c>
      <c r="U32" s="16">
        <f>S32*T32-P32-Q32-X32-Y32</f>
        <v>19.251000000000001</v>
      </c>
      <c r="V32" s="12"/>
      <c r="W32" s="12"/>
      <c r="X32" s="13"/>
      <c r="Y32" s="12"/>
    </row>
    <row r="33" spans="1:25" s="191" customFormat="1" ht="30" x14ac:dyDescent="0.25">
      <c r="A33" s="139" t="s">
        <v>0</v>
      </c>
      <c r="B33" s="139" t="s">
        <v>361</v>
      </c>
      <c r="C33" s="139" t="s">
        <v>474</v>
      </c>
      <c r="D33" s="101" t="s">
        <v>213</v>
      </c>
      <c r="E33" s="190">
        <v>34.299999999999997</v>
      </c>
      <c r="F33" s="139" t="s">
        <v>4</v>
      </c>
      <c r="G33" s="5" t="s">
        <v>437</v>
      </c>
      <c r="H33" s="181" t="s">
        <v>738</v>
      </c>
      <c r="I33" s="6">
        <v>1</v>
      </c>
      <c r="J33" s="6">
        <v>1</v>
      </c>
      <c r="K33" s="21" t="s">
        <v>1449</v>
      </c>
      <c r="L33" s="6" t="s">
        <v>6</v>
      </c>
      <c r="M33" s="6" t="s">
        <v>388</v>
      </c>
      <c r="N33" s="31">
        <v>1500</v>
      </c>
      <c r="O33" s="10">
        <v>2125</v>
      </c>
      <c r="P33" s="11">
        <f t="shared" si="0"/>
        <v>3.1875</v>
      </c>
      <c r="Q33" s="12">
        <v>6.12</v>
      </c>
      <c r="R33" s="12">
        <v>1.1299999999999999</v>
      </c>
      <c r="S33" s="13">
        <v>23.45</v>
      </c>
      <c r="T33" s="12">
        <v>3</v>
      </c>
      <c r="U33" s="13"/>
      <c r="V33" s="12"/>
      <c r="W33" s="12"/>
      <c r="X33" s="47">
        <f t="shared" ref="X33:X50" si="2">S33*T33-P33-Q33-Y33</f>
        <v>61.042499999999997</v>
      </c>
      <c r="Y33" s="12"/>
    </row>
    <row r="34" spans="1:25" s="191" customFormat="1" ht="30" x14ac:dyDescent="0.25">
      <c r="A34" s="139" t="s">
        <v>0</v>
      </c>
      <c r="B34" s="139" t="s">
        <v>361</v>
      </c>
      <c r="C34" s="139" t="s">
        <v>475</v>
      </c>
      <c r="D34" s="101" t="s">
        <v>298</v>
      </c>
      <c r="E34" s="190">
        <v>33.6</v>
      </c>
      <c r="F34" s="139" t="s">
        <v>4</v>
      </c>
      <c r="G34" s="5" t="s">
        <v>437</v>
      </c>
      <c r="H34" s="181" t="s">
        <v>738</v>
      </c>
      <c r="I34" s="6">
        <v>1</v>
      </c>
      <c r="J34" s="6">
        <v>1</v>
      </c>
      <c r="K34" s="21" t="s">
        <v>1449</v>
      </c>
      <c r="L34" s="6" t="s">
        <v>6</v>
      </c>
      <c r="M34" s="6" t="s">
        <v>388</v>
      </c>
      <c r="N34" s="31">
        <v>1500</v>
      </c>
      <c r="O34" s="10">
        <v>2125</v>
      </c>
      <c r="P34" s="11">
        <f t="shared" si="0"/>
        <v>3.1875</v>
      </c>
      <c r="Q34" s="12">
        <v>6.9</v>
      </c>
      <c r="R34" s="12">
        <v>1.1299999999999999</v>
      </c>
      <c r="S34" s="13">
        <v>24.3</v>
      </c>
      <c r="T34" s="12">
        <v>3</v>
      </c>
      <c r="U34" s="13"/>
      <c r="V34" s="12"/>
      <c r="W34" s="12"/>
      <c r="X34" s="47">
        <f t="shared" si="2"/>
        <v>62.812500000000007</v>
      </c>
      <c r="Y34" s="12"/>
    </row>
    <row r="35" spans="1:25" s="191" customFormat="1" ht="30" x14ac:dyDescent="0.25">
      <c r="A35" s="139" t="s">
        <v>0</v>
      </c>
      <c r="B35" s="139" t="s">
        <v>361</v>
      </c>
      <c r="C35" s="139" t="s">
        <v>476</v>
      </c>
      <c r="D35" s="101" t="s">
        <v>477</v>
      </c>
      <c r="E35" s="190">
        <v>32.6</v>
      </c>
      <c r="F35" s="139" t="s">
        <v>4</v>
      </c>
      <c r="G35" s="5" t="s">
        <v>437</v>
      </c>
      <c r="H35" s="181" t="s">
        <v>738</v>
      </c>
      <c r="I35" s="6">
        <v>1</v>
      </c>
      <c r="J35" s="6">
        <v>1</v>
      </c>
      <c r="K35" s="21" t="s">
        <v>1449</v>
      </c>
      <c r="L35" s="6" t="s">
        <v>10</v>
      </c>
      <c r="M35" s="6" t="s">
        <v>388</v>
      </c>
      <c r="N35" s="31">
        <v>1500</v>
      </c>
      <c r="O35" s="10">
        <v>2125</v>
      </c>
      <c r="P35" s="11">
        <f t="shared" si="0"/>
        <v>3.1875</v>
      </c>
      <c r="Q35" s="12">
        <v>7.01</v>
      </c>
      <c r="R35" s="12">
        <v>1.1299999999999999</v>
      </c>
      <c r="S35" s="13">
        <v>22.9</v>
      </c>
      <c r="T35" s="12">
        <v>3</v>
      </c>
      <c r="U35" s="13"/>
      <c r="V35" s="12"/>
      <c r="W35" s="12"/>
      <c r="X35" s="47">
        <f t="shared" si="2"/>
        <v>58.502499999999991</v>
      </c>
      <c r="Y35" s="12"/>
    </row>
    <row r="36" spans="1:25" s="191" customFormat="1" ht="30" x14ac:dyDescent="0.25">
      <c r="A36" s="139" t="s">
        <v>0</v>
      </c>
      <c r="B36" s="139" t="s">
        <v>361</v>
      </c>
      <c r="C36" s="139" t="s">
        <v>478</v>
      </c>
      <c r="D36" s="101" t="s">
        <v>213</v>
      </c>
      <c r="E36" s="190">
        <v>21</v>
      </c>
      <c r="F36" s="139" t="s">
        <v>4</v>
      </c>
      <c r="G36" s="5" t="s">
        <v>437</v>
      </c>
      <c r="H36" s="181" t="s">
        <v>738</v>
      </c>
      <c r="I36" s="6">
        <v>1</v>
      </c>
      <c r="J36" s="6">
        <v>1</v>
      </c>
      <c r="K36" s="21" t="s">
        <v>1449</v>
      </c>
      <c r="L36" s="6" t="s">
        <v>6</v>
      </c>
      <c r="M36" s="6" t="s">
        <v>388</v>
      </c>
      <c r="N36" s="31">
        <v>2375</v>
      </c>
      <c r="O36" s="10">
        <v>2125</v>
      </c>
      <c r="P36" s="11">
        <f t="shared" si="0"/>
        <v>5.046875</v>
      </c>
      <c r="Q36" s="12"/>
      <c r="R36" s="12"/>
      <c r="S36" s="13">
        <v>19</v>
      </c>
      <c r="T36" s="12">
        <v>3</v>
      </c>
      <c r="U36" s="13"/>
      <c r="V36" s="12"/>
      <c r="W36" s="12"/>
      <c r="X36" s="47">
        <f t="shared" si="2"/>
        <v>51.953125</v>
      </c>
      <c r="Y36" s="12"/>
    </row>
    <row r="37" spans="1:25" s="191" customFormat="1" ht="30" x14ac:dyDescent="0.25">
      <c r="A37" s="139" t="s">
        <v>0</v>
      </c>
      <c r="B37" s="139" t="s">
        <v>361</v>
      </c>
      <c r="C37" s="139" t="s">
        <v>479</v>
      </c>
      <c r="D37" s="101" t="s">
        <v>213</v>
      </c>
      <c r="E37" s="190">
        <v>20.8</v>
      </c>
      <c r="F37" s="139" t="s">
        <v>4</v>
      </c>
      <c r="G37" s="5" t="s">
        <v>437</v>
      </c>
      <c r="H37" s="181" t="s">
        <v>738</v>
      </c>
      <c r="I37" s="6">
        <v>1</v>
      </c>
      <c r="J37" s="6">
        <v>1</v>
      </c>
      <c r="K37" s="21" t="s">
        <v>1449</v>
      </c>
      <c r="L37" s="6" t="s">
        <v>6</v>
      </c>
      <c r="M37" s="6" t="s">
        <v>388</v>
      </c>
      <c r="N37" s="31">
        <v>2375</v>
      </c>
      <c r="O37" s="10">
        <v>2125</v>
      </c>
      <c r="P37" s="11">
        <f t="shared" si="0"/>
        <v>5.046875</v>
      </c>
      <c r="Q37" s="12"/>
      <c r="R37" s="12"/>
      <c r="S37" s="13">
        <v>18.850000000000001</v>
      </c>
      <c r="T37" s="12">
        <v>3</v>
      </c>
      <c r="U37" s="13"/>
      <c r="V37" s="12"/>
      <c r="W37" s="12"/>
      <c r="X37" s="47">
        <f t="shared" si="2"/>
        <v>51.503125000000004</v>
      </c>
      <c r="Y37" s="12"/>
    </row>
    <row r="38" spans="1:25" s="191" customFormat="1" ht="30" x14ac:dyDescent="0.25">
      <c r="A38" s="139" t="s">
        <v>0</v>
      </c>
      <c r="B38" s="139" t="s">
        <v>361</v>
      </c>
      <c r="C38" s="139" t="s">
        <v>480</v>
      </c>
      <c r="D38" s="101" t="s">
        <v>338</v>
      </c>
      <c r="E38" s="190">
        <v>3.4</v>
      </c>
      <c r="F38" s="139" t="s">
        <v>4</v>
      </c>
      <c r="G38" s="5" t="s">
        <v>437</v>
      </c>
      <c r="H38" s="181" t="s">
        <v>738</v>
      </c>
      <c r="I38" s="6">
        <v>1</v>
      </c>
      <c r="J38" s="6">
        <v>1</v>
      </c>
      <c r="K38" s="21" t="s">
        <v>1449</v>
      </c>
      <c r="L38" s="6" t="s">
        <v>6</v>
      </c>
      <c r="M38" s="6" t="s">
        <v>7</v>
      </c>
      <c r="N38" s="31">
        <v>2625</v>
      </c>
      <c r="O38" s="10">
        <v>2125</v>
      </c>
      <c r="P38" s="11">
        <f t="shared" si="0"/>
        <v>5.578125</v>
      </c>
      <c r="Q38" s="12"/>
      <c r="R38" s="12"/>
      <c r="S38" s="13">
        <v>7.4</v>
      </c>
      <c r="T38" s="12">
        <v>2.6</v>
      </c>
      <c r="U38" s="13"/>
      <c r="V38" s="12"/>
      <c r="W38" s="12"/>
      <c r="X38" s="47">
        <f t="shared" si="2"/>
        <v>13.661875000000002</v>
      </c>
      <c r="Y38" s="12"/>
    </row>
    <row r="39" spans="1:25" s="191" customFormat="1" ht="30" x14ac:dyDescent="0.25">
      <c r="A39" s="139" t="s">
        <v>0</v>
      </c>
      <c r="B39" s="139" t="s">
        <v>361</v>
      </c>
      <c r="C39" s="139" t="s">
        <v>481</v>
      </c>
      <c r="D39" s="101" t="s">
        <v>65</v>
      </c>
      <c r="E39" s="190">
        <v>1.2</v>
      </c>
      <c r="F39" s="139" t="s">
        <v>4</v>
      </c>
      <c r="G39" s="5" t="s">
        <v>437</v>
      </c>
      <c r="H39" s="181" t="s">
        <v>738</v>
      </c>
      <c r="I39" s="6">
        <v>1</v>
      </c>
      <c r="J39" s="6">
        <v>1</v>
      </c>
      <c r="K39" s="21" t="s">
        <v>1449</v>
      </c>
      <c r="L39" s="6" t="s">
        <v>6</v>
      </c>
      <c r="M39" s="6" t="s">
        <v>7</v>
      </c>
      <c r="N39" s="31">
        <v>875</v>
      </c>
      <c r="O39" s="10">
        <v>2125</v>
      </c>
      <c r="P39" s="11">
        <f t="shared" si="0"/>
        <v>1.859375</v>
      </c>
      <c r="Q39" s="12"/>
      <c r="R39" s="12"/>
      <c r="S39" s="13">
        <v>4.4000000000000004</v>
      </c>
      <c r="T39" s="12">
        <v>2.6</v>
      </c>
      <c r="U39" s="13"/>
      <c r="V39" s="12"/>
      <c r="W39" s="12"/>
      <c r="X39" s="47">
        <f t="shared" si="2"/>
        <v>9.5806250000000013</v>
      </c>
      <c r="Y39" s="12"/>
    </row>
    <row r="40" spans="1:25" s="192" customFormat="1" ht="30" x14ac:dyDescent="0.25">
      <c r="A40" s="139" t="s">
        <v>0</v>
      </c>
      <c r="B40" s="139" t="s">
        <v>361</v>
      </c>
      <c r="C40" s="139" t="s">
        <v>482</v>
      </c>
      <c r="D40" s="101" t="s">
        <v>65</v>
      </c>
      <c r="E40" s="190">
        <v>1.2</v>
      </c>
      <c r="F40" s="139" t="s">
        <v>4</v>
      </c>
      <c r="G40" s="5" t="s">
        <v>437</v>
      </c>
      <c r="H40" s="181" t="s">
        <v>738</v>
      </c>
      <c r="I40" s="6">
        <v>1</v>
      </c>
      <c r="J40" s="6">
        <v>1</v>
      </c>
      <c r="K40" s="21" t="s">
        <v>1449</v>
      </c>
      <c r="L40" s="6" t="s">
        <v>6</v>
      </c>
      <c r="M40" s="6" t="s">
        <v>7</v>
      </c>
      <c r="N40" s="31">
        <v>875</v>
      </c>
      <c r="O40" s="10">
        <v>2125</v>
      </c>
      <c r="P40" s="11">
        <f t="shared" si="0"/>
        <v>1.859375</v>
      </c>
      <c r="Q40" s="12"/>
      <c r="R40" s="12"/>
      <c r="S40" s="13">
        <v>4.4000000000000004</v>
      </c>
      <c r="T40" s="12">
        <v>2.6</v>
      </c>
      <c r="U40" s="25"/>
      <c r="V40" s="12"/>
      <c r="W40" s="12"/>
      <c r="X40" s="47">
        <f t="shared" si="2"/>
        <v>9.5806250000000013</v>
      </c>
      <c r="Y40" s="12"/>
    </row>
    <row r="41" spans="1:25" s="192" customFormat="1" ht="30" x14ac:dyDescent="0.25">
      <c r="A41" s="139" t="s">
        <v>0</v>
      </c>
      <c r="B41" s="139" t="s">
        <v>361</v>
      </c>
      <c r="C41" s="139" t="s">
        <v>483</v>
      </c>
      <c r="D41" s="101" t="s">
        <v>484</v>
      </c>
      <c r="E41" s="190">
        <v>3.9</v>
      </c>
      <c r="F41" s="139" t="s">
        <v>4</v>
      </c>
      <c r="G41" s="5" t="s">
        <v>437</v>
      </c>
      <c r="H41" s="181" t="s">
        <v>738</v>
      </c>
      <c r="I41" s="6">
        <v>1</v>
      </c>
      <c r="J41" s="6">
        <v>1</v>
      </c>
      <c r="K41" s="21" t="s">
        <v>1449</v>
      </c>
      <c r="L41" s="6" t="s">
        <v>81</v>
      </c>
      <c r="M41" s="6" t="s">
        <v>7</v>
      </c>
      <c r="N41" s="31">
        <v>1125</v>
      </c>
      <c r="O41" s="10">
        <v>2125</v>
      </c>
      <c r="P41" s="11">
        <f t="shared" si="0"/>
        <v>2.390625</v>
      </c>
      <c r="Q41" s="341"/>
      <c r="R41" s="12"/>
      <c r="S41" s="13">
        <v>7.9</v>
      </c>
      <c r="T41" s="12">
        <v>2.6</v>
      </c>
      <c r="U41" s="25"/>
      <c r="V41" s="12"/>
      <c r="W41" s="12"/>
      <c r="X41" s="47">
        <f t="shared" si="2"/>
        <v>18.149375000000003</v>
      </c>
      <c r="Y41" s="12"/>
    </row>
    <row r="42" spans="1:25" s="192" customFormat="1" ht="30" x14ac:dyDescent="0.25">
      <c r="A42" s="139" t="s">
        <v>0</v>
      </c>
      <c r="B42" s="139" t="s">
        <v>361</v>
      </c>
      <c r="C42" s="139" t="s">
        <v>485</v>
      </c>
      <c r="D42" s="101" t="s">
        <v>3</v>
      </c>
      <c r="E42" s="190">
        <v>2</v>
      </c>
      <c r="F42" s="139" t="s">
        <v>4</v>
      </c>
      <c r="G42" s="5" t="s">
        <v>437</v>
      </c>
      <c r="H42" s="181" t="s">
        <v>738</v>
      </c>
      <c r="I42" s="6">
        <v>1</v>
      </c>
      <c r="J42" s="6">
        <v>1</v>
      </c>
      <c r="K42" s="21" t="s">
        <v>1449</v>
      </c>
      <c r="L42" s="6" t="s">
        <v>6</v>
      </c>
      <c r="M42" s="6" t="s">
        <v>7</v>
      </c>
      <c r="N42" s="31">
        <v>1750</v>
      </c>
      <c r="O42" s="10">
        <v>2125</v>
      </c>
      <c r="P42" s="11">
        <f t="shared" si="0"/>
        <v>3.71875</v>
      </c>
      <c r="Q42" s="12"/>
      <c r="R42" s="12"/>
      <c r="S42" s="13">
        <v>5.7</v>
      </c>
      <c r="T42" s="12">
        <v>2.6</v>
      </c>
      <c r="U42" s="13"/>
      <c r="V42" s="12"/>
      <c r="W42" s="12"/>
      <c r="X42" s="47">
        <f t="shared" si="2"/>
        <v>11.10125</v>
      </c>
      <c r="Y42" s="12"/>
    </row>
    <row r="43" spans="1:25" s="192" customFormat="1" ht="30" x14ac:dyDescent="0.25">
      <c r="A43" s="139" t="s">
        <v>0</v>
      </c>
      <c r="B43" s="139" t="s">
        <v>361</v>
      </c>
      <c r="C43" s="139" t="s">
        <v>486</v>
      </c>
      <c r="D43" s="101" t="s">
        <v>487</v>
      </c>
      <c r="E43" s="190">
        <v>3.6</v>
      </c>
      <c r="F43" s="139" t="s">
        <v>4</v>
      </c>
      <c r="G43" s="5" t="s">
        <v>437</v>
      </c>
      <c r="H43" s="181" t="s">
        <v>738</v>
      </c>
      <c r="I43" s="6">
        <v>1</v>
      </c>
      <c r="J43" s="6">
        <v>1</v>
      </c>
      <c r="K43" s="21" t="s">
        <v>1449</v>
      </c>
      <c r="L43" s="6" t="s">
        <v>81</v>
      </c>
      <c r="M43" s="6" t="s">
        <v>7</v>
      </c>
      <c r="N43" s="31">
        <v>875</v>
      </c>
      <c r="O43" s="10">
        <v>2125</v>
      </c>
      <c r="P43" s="11">
        <f t="shared" si="0"/>
        <v>1.859375</v>
      </c>
      <c r="Q43" s="12"/>
      <c r="R43" s="12"/>
      <c r="S43" s="13">
        <v>8</v>
      </c>
      <c r="T43" s="12">
        <v>2.6</v>
      </c>
      <c r="U43" s="13"/>
      <c r="V43" s="12"/>
      <c r="W43" s="12"/>
      <c r="X43" s="47">
        <f t="shared" si="2"/>
        <v>18.940625000000001</v>
      </c>
      <c r="Y43" s="12"/>
    </row>
    <row r="44" spans="1:25" s="192" customFormat="1" ht="30" x14ac:dyDescent="0.25">
      <c r="A44" s="139" t="s">
        <v>0</v>
      </c>
      <c r="B44" s="139" t="s">
        <v>361</v>
      </c>
      <c r="C44" s="139" t="s">
        <v>488</v>
      </c>
      <c r="D44" s="101" t="s">
        <v>338</v>
      </c>
      <c r="E44" s="190">
        <v>4.8</v>
      </c>
      <c r="F44" s="139" t="s">
        <v>4</v>
      </c>
      <c r="G44" s="5" t="s">
        <v>437</v>
      </c>
      <c r="H44" s="181" t="s">
        <v>738</v>
      </c>
      <c r="I44" s="6">
        <v>1</v>
      </c>
      <c r="J44" s="6">
        <v>1</v>
      </c>
      <c r="K44" s="21" t="s">
        <v>1449</v>
      </c>
      <c r="L44" s="6" t="s">
        <v>6</v>
      </c>
      <c r="M44" s="6" t="s">
        <v>7</v>
      </c>
      <c r="N44" s="31">
        <v>2625</v>
      </c>
      <c r="O44" s="10">
        <v>2125</v>
      </c>
      <c r="P44" s="11">
        <f t="shared" si="0"/>
        <v>5.578125</v>
      </c>
      <c r="Q44" s="12"/>
      <c r="R44" s="12"/>
      <c r="S44" s="13">
        <v>9.1999999999999993</v>
      </c>
      <c r="T44" s="12">
        <v>2.6</v>
      </c>
      <c r="U44" s="13"/>
      <c r="V44" s="12"/>
      <c r="W44" s="12"/>
      <c r="X44" s="47">
        <f t="shared" si="2"/>
        <v>18.341874999999998</v>
      </c>
      <c r="Y44" s="12"/>
    </row>
    <row r="45" spans="1:25" s="15" customFormat="1" ht="30" x14ac:dyDescent="0.25">
      <c r="A45" s="139" t="s">
        <v>0</v>
      </c>
      <c r="B45" s="139" t="s">
        <v>361</v>
      </c>
      <c r="C45" s="139" t="s">
        <v>489</v>
      </c>
      <c r="D45" s="101" t="s">
        <v>65</v>
      </c>
      <c r="E45" s="190">
        <v>1.3</v>
      </c>
      <c r="F45" s="139" t="s">
        <v>4</v>
      </c>
      <c r="G45" s="5" t="s">
        <v>437</v>
      </c>
      <c r="H45" s="181" t="s">
        <v>738</v>
      </c>
      <c r="I45" s="6">
        <v>1</v>
      </c>
      <c r="J45" s="6">
        <v>1</v>
      </c>
      <c r="K45" s="21" t="s">
        <v>1449</v>
      </c>
      <c r="L45" s="6" t="s">
        <v>6</v>
      </c>
      <c r="M45" s="6" t="s">
        <v>7</v>
      </c>
      <c r="N45" s="31">
        <v>875</v>
      </c>
      <c r="O45" s="10">
        <v>2125</v>
      </c>
      <c r="P45" s="11">
        <f t="shared" si="0"/>
        <v>1.859375</v>
      </c>
      <c r="Q45" s="12"/>
      <c r="R45" s="12"/>
      <c r="S45" s="13">
        <v>4.5</v>
      </c>
      <c r="T45" s="12">
        <v>2.6</v>
      </c>
      <c r="U45" s="25"/>
      <c r="V45" s="12"/>
      <c r="W45" s="12"/>
      <c r="X45" s="47">
        <f t="shared" si="2"/>
        <v>9.8406250000000011</v>
      </c>
      <c r="Y45" s="12"/>
    </row>
    <row r="46" spans="1:25" s="15" customFormat="1" ht="30" x14ac:dyDescent="0.25">
      <c r="A46" s="139" t="s">
        <v>0</v>
      </c>
      <c r="B46" s="139" t="s">
        <v>361</v>
      </c>
      <c r="C46" s="139" t="s">
        <v>490</v>
      </c>
      <c r="D46" s="101" t="s">
        <v>220</v>
      </c>
      <c r="E46" s="190">
        <v>1.3</v>
      </c>
      <c r="F46" s="139" t="s">
        <v>4</v>
      </c>
      <c r="G46" s="5" t="s">
        <v>437</v>
      </c>
      <c r="H46" s="181" t="s">
        <v>738</v>
      </c>
      <c r="I46" s="6">
        <v>1</v>
      </c>
      <c r="J46" s="6">
        <v>1</v>
      </c>
      <c r="K46" s="21" t="s">
        <v>1449</v>
      </c>
      <c r="L46" s="6" t="s">
        <v>81</v>
      </c>
      <c r="M46" s="6" t="s">
        <v>7</v>
      </c>
      <c r="N46" s="31">
        <v>875</v>
      </c>
      <c r="O46" s="10">
        <v>2125</v>
      </c>
      <c r="P46" s="11">
        <f t="shared" si="0"/>
        <v>1.859375</v>
      </c>
      <c r="Q46" s="12"/>
      <c r="R46" s="12"/>
      <c r="S46" s="13">
        <v>4.5</v>
      </c>
      <c r="T46" s="12">
        <v>2.6</v>
      </c>
      <c r="U46" s="25"/>
      <c r="V46" s="12"/>
      <c r="W46" s="12"/>
      <c r="X46" s="47">
        <f t="shared" si="2"/>
        <v>9.8406250000000011</v>
      </c>
      <c r="Y46" s="12"/>
    </row>
    <row r="47" spans="1:25" s="15" customFormat="1" ht="30" x14ac:dyDescent="0.25">
      <c r="A47" s="139" t="s">
        <v>0</v>
      </c>
      <c r="B47" s="139" t="s">
        <v>361</v>
      </c>
      <c r="C47" s="139" t="s">
        <v>491</v>
      </c>
      <c r="D47" s="101" t="s">
        <v>52</v>
      </c>
      <c r="E47" s="190">
        <v>3.3</v>
      </c>
      <c r="F47" s="139" t="s">
        <v>4</v>
      </c>
      <c r="G47" s="5" t="s">
        <v>437</v>
      </c>
      <c r="H47" s="181" t="s">
        <v>738</v>
      </c>
      <c r="I47" s="6">
        <v>1</v>
      </c>
      <c r="J47" s="6">
        <v>1</v>
      </c>
      <c r="K47" s="21" t="s">
        <v>1449</v>
      </c>
      <c r="L47" s="6" t="s">
        <v>6</v>
      </c>
      <c r="M47" s="6" t="s">
        <v>7</v>
      </c>
      <c r="N47" s="31">
        <v>1750</v>
      </c>
      <c r="O47" s="10">
        <v>2125</v>
      </c>
      <c r="P47" s="11">
        <f t="shared" si="0"/>
        <v>3.71875</v>
      </c>
      <c r="Q47" s="12"/>
      <c r="R47" s="12"/>
      <c r="S47" s="13">
        <v>5.3</v>
      </c>
      <c r="T47" s="12">
        <v>2.6</v>
      </c>
      <c r="U47" s="25"/>
      <c r="V47" s="12"/>
      <c r="W47" s="12"/>
      <c r="X47" s="47">
        <f t="shared" si="2"/>
        <v>10.061249999999999</v>
      </c>
      <c r="Y47" s="12"/>
    </row>
    <row r="48" spans="1:25" s="15" customFormat="1" ht="30" x14ac:dyDescent="0.25">
      <c r="A48" s="139" t="s">
        <v>0</v>
      </c>
      <c r="B48" s="139" t="s">
        <v>361</v>
      </c>
      <c r="C48" s="139" t="s">
        <v>492</v>
      </c>
      <c r="D48" s="101" t="s">
        <v>335</v>
      </c>
      <c r="E48" s="190">
        <v>3.3</v>
      </c>
      <c r="F48" s="139" t="s">
        <v>4</v>
      </c>
      <c r="G48" s="5" t="s">
        <v>437</v>
      </c>
      <c r="H48" s="181" t="s">
        <v>738</v>
      </c>
      <c r="I48" s="6">
        <v>1</v>
      </c>
      <c r="J48" s="6">
        <v>1</v>
      </c>
      <c r="K48" s="21" t="s">
        <v>1449</v>
      </c>
      <c r="L48" s="6" t="s">
        <v>6</v>
      </c>
      <c r="M48" s="6" t="s">
        <v>7</v>
      </c>
      <c r="N48" s="31">
        <v>1750</v>
      </c>
      <c r="O48" s="10">
        <v>2125</v>
      </c>
      <c r="P48" s="11">
        <f t="shared" si="0"/>
        <v>3.71875</v>
      </c>
      <c r="Q48" s="12"/>
      <c r="R48" s="12"/>
      <c r="S48" s="13">
        <v>6.8</v>
      </c>
      <c r="T48" s="12">
        <v>2.6</v>
      </c>
      <c r="U48" s="25"/>
      <c r="V48" s="12"/>
      <c r="W48" s="12"/>
      <c r="X48" s="47">
        <f t="shared" si="2"/>
        <v>13.96125</v>
      </c>
      <c r="Y48" s="12"/>
    </row>
    <row r="49" spans="1:25" s="15" customFormat="1" ht="30" x14ac:dyDescent="0.25">
      <c r="A49" s="139" t="s">
        <v>0</v>
      </c>
      <c r="B49" s="139" t="s">
        <v>361</v>
      </c>
      <c r="C49" s="139" t="s">
        <v>493</v>
      </c>
      <c r="D49" s="101" t="s">
        <v>65</v>
      </c>
      <c r="E49" s="190">
        <v>1.2</v>
      </c>
      <c r="F49" s="139" t="s">
        <v>4</v>
      </c>
      <c r="G49" s="5" t="s">
        <v>437</v>
      </c>
      <c r="H49" s="181" t="s">
        <v>738</v>
      </c>
      <c r="I49" s="6">
        <v>1</v>
      </c>
      <c r="J49" s="6">
        <v>1</v>
      </c>
      <c r="K49" s="21" t="s">
        <v>1449</v>
      </c>
      <c r="L49" s="6" t="s">
        <v>6</v>
      </c>
      <c r="M49" s="6" t="s">
        <v>7</v>
      </c>
      <c r="N49" s="31">
        <v>875</v>
      </c>
      <c r="O49" s="10">
        <v>2125</v>
      </c>
      <c r="P49" s="11">
        <f t="shared" si="0"/>
        <v>1.859375</v>
      </c>
      <c r="Q49" s="12"/>
      <c r="R49" s="12"/>
      <c r="S49" s="13">
        <v>5.0999999999999996</v>
      </c>
      <c r="T49" s="12">
        <v>2.6</v>
      </c>
      <c r="U49" s="25"/>
      <c r="V49" s="12"/>
      <c r="W49" s="12"/>
      <c r="X49" s="47">
        <f t="shared" si="2"/>
        <v>11.400625</v>
      </c>
      <c r="Y49" s="12"/>
    </row>
    <row r="50" spans="1:25" s="15" customFormat="1" ht="30" x14ac:dyDescent="0.25">
      <c r="A50" s="139" t="s">
        <v>0</v>
      </c>
      <c r="B50" s="139" t="s">
        <v>361</v>
      </c>
      <c r="C50" s="139" t="s">
        <v>494</v>
      </c>
      <c r="D50" s="101" t="s">
        <v>495</v>
      </c>
      <c r="E50" s="190">
        <v>50.6</v>
      </c>
      <c r="F50" s="139" t="s">
        <v>4</v>
      </c>
      <c r="G50" s="5" t="s">
        <v>437</v>
      </c>
      <c r="H50" s="181" t="s">
        <v>738</v>
      </c>
      <c r="I50" s="6">
        <v>1</v>
      </c>
      <c r="J50" s="6">
        <v>1</v>
      </c>
      <c r="K50" s="21" t="s">
        <v>1449</v>
      </c>
      <c r="L50" s="6" t="s">
        <v>10</v>
      </c>
      <c r="M50" s="6" t="s">
        <v>7</v>
      </c>
      <c r="N50" s="31">
        <v>7000</v>
      </c>
      <c r="O50" s="10">
        <v>2125</v>
      </c>
      <c r="P50" s="11">
        <f t="shared" si="0"/>
        <v>14.875</v>
      </c>
      <c r="Q50" s="12"/>
      <c r="R50" s="12"/>
      <c r="S50" s="13">
        <v>40.380000000000003</v>
      </c>
      <c r="T50" s="12">
        <v>3</v>
      </c>
      <c r="U50" s="25"/>
      <c r="V50" s="12"/>
      <c r="W50" s="12"/>
      <c r="X50" s="47">
        <f t="shared" si="2"/>
        <v>106.26500000000001</v>
      </c>
      <c r="Y50" s="12"/>
    </row>
    <row r="51" spans="1:25" s="15" customFormat="1" ht="30" x14ac:dyDescent="0.25">
      <c r="A51" s="139" t="s">
        <v>0</v>
      </c>
      <c r="B51" s="139" t="s">
        <v>361</v>
      </c>
      <c r="C51" s="139" t="s">
        <v>496</v>
      </c>
      <c r="D51" s="101" t="s">
        <v>32</v>
      </c>
      <c r="E51" s="190">
        <v>9.5</v>
      </c>
      <c r="F51" s="139" t="s">
        <v>4</v>
      </c>
      <c r="G51" s="5" t="s">
        <v>437</v>
      </c>
      <c r="H51" s="181" t="s">
        <v>738</v>
      </c>
      <c r="I51" s="6">
        <v>1</v>
      </c>
      <c r="J51" s="6">
        <v>1</v>
      </c>
      <c r="K51" s="21" t="s">
        <v>1449</v>
      </c>
      <c r="L51" s="6" t="s">
        <v>10</v>
      </c>
      <c r="M51" s="6"/>
      <c r="N51" s="31"/>
      <c r="O51" s="10"/>
      <c r="P51" s="11">
        <f t="shared" si="0"/>
        <v>0</v>
      </c>
      <c r="Q51" s="12"/>
      <c r="R51" s="12"/>
      <c r="S51" s="13"/>
      <c r="T51" s="12">
        <v>3</v>
      </c>
      <c r="U51" s="25"/>
      <c r="V51" s="12"/>
      <c r="W51" s="12"/>
      <c r="X51" s="13"/>
      <c r="Y51" s="12"/>
    </row>
    <row r="52" spans="1:25" s="15" customFormat="1" ht="30" x14ac:dyDescent="0.25">
      <c r="A52" s="139" t="s">
        <v>0</v>
      </c>
      <c r="B52" s="139" t="s">
        <v>361</v>
      </c>
      <c r="C52" s="139" t="s">
        <v>497</v>
      </c>
      <c r="D52" s="101" t="s">
        <v>498</v>
      </c>
      <c r="E52" s="190">
        <v>16</v>
      </c>
      <c r="F52" s="139" t="s">
        <v>4</v>
      </c>
      <c r="G52" s="5" t="s">
        <v>437</v>
      </c>
      <c r="H52" s="181" t="s">
        <v>738</v>
      </c>
      <c r="I52" s="6">
        <v>1</v>
      </c>
      <c r="J52" s="6">
        <v>1</v>
      </c>
      <c r="K52" s="21" t="s">
        <v>1449</v>
      </c>
      <c r="L52" s="6" t="s">
        <v>10</v>
      </c>
      <c r="M52" s="6" t="s">
        <v>7</v>
      </c>
      <c r="N52" s="31">
        <v>1000</v>
      </c>
      <c r="O52" s="10">
        <v>2125</v>
      </c>
      <c r="P52" s="11">
        <f t="shared" si="0"/>
        <v>2.125</v>
      </c>
      <c r="Q52" s="12">
        <v>1.67</v>
      </c>
      <c r="R52" s="12">
        <v>1.06</v>
      </c>
      <c r="S52" s="13">
        <v>17.38</v>
      </c>
      <c r="T52" s="12">
        <v>3</v>
      </c>
      <c r="U52" s="25"/>
      <c r="V52" s="12"/>
      <c r="W52" s="12"/>
      <c r="X52" s="47">
        <f>S52*T52-P52-Q52-Y52</f>
        <v>48.344999999999999</v>
      </c>
      <c r="Y52" s="12"/>
    </row>
    <row r="53" spans="1:25" s="15" customFormat="1" ht="30" x14ac:dyDescent="0.25">
      <c r="A53" s="139" t="s">
        <v>0</v>
      </c>
      <c r="B53" s="139" t="s">
        <v>361</v>
      </c>
      <c r="C53" s="139" t="s">
        <v>499</v>
      </c>
      <c r="D53" s="101" t="s">
        <v>500</v>
      </c>
      <c r="E53" s="190">
        <v>35.200000000000003</v>
      </c>
      <c r="F53" s="139" t="s">
        <v>4</v>
      </c>
      <c r="G53" s="5" t="s">
        <v>437</v>
      </c>
      <c r="H53" s="181" t="s">
        <v>738</v>
      </c>
      <c r="I53" s="6">
        <v>1</v>
      </c>
      <c r="J53" s="6">
        <v>1</v>
      </c>
      <c r="K53" s="21" t="s">
        <v>1449</v>
      </c>
      <c r="L53" s="6" t="s">
        <v>10</v>
      </c>
      <c r="M53" s="6"/>
      <c r="N53" s="31"/>
      <c r="O53" s="10"/>
      <c r="P53" s="11">
        <f t="shared" si="0"/>
        <v>0</v>
      </c>
      <c r="Q53" s="12">
        <v>6.53</v>
      </c>
      <c r="R53" s="12">
        <v>1.06</v>
      </c>
      <c r="S53" s="13">
        <v>18.13</v>
      </c>
      <c r="T53" s="12">
        <v>3</v>
      </c>
      <c r="U53" s="25"/>
      <c r="V53" s="12"/>
      <c r="W53" s="12"/>
      <c r="X53" s="47">
        <f>S53*T53-P53-Q53-Y53</f>
        <v>47.86</v>
      </c>
      <c r="Y53" s="12"/>
    </row>
    <row r="54" spans="1:25" s="15" customFormat="1" ht="30" x14ac:dyDescent="0.25">
      <c r="A54" s="139" t="s">
        <v>0</v>
      </c>
      <c r="B54" s="139" t="s">
        <v>361</v>
      </c>
      <c r="C54" s="139" t="s">
        <v>501</v>
      </c>
      <c r="D54" s="101" t="s">
        <v>498</v>
      </c>
      <c r="E54" s="190">
        <v>18.100000000000001</v>
      </c>
      <c r="F54" s="139" t="s">
        <v>4</v>
      </c>
      <c r="G54" s="5" t="s">
        <v>437</v>
      </c>
      <c r="H54" s="181" t="s">
        <v>738</v>
      </c>
      <c r="I54" s="6">
        <v>1</v>
      </c>
      <c r="J54" s="6">
        <v>1</v>
      </c>
      <c r="K54" s="21" t="s">
        <v>1449</v>
      </c>
      <c r="L54" s="6" t="s">
        <v>10</v>
      </c>
      <c r="M54" s="6" t="s">
        <v>7</v>
      </c>
      <c r="N54" s="31">
        <v>2500</v>
      </c>
      <c r="O54" s="10">
        <v>2125</v>
      </c>
      <c r="P54" s="11">
        <f t="shared" si="0"/>
        <v>5.3125</v>
      </c>
      <c r="Q54" s="12">
        <v>2.97</v>
      </c>
      <c r="R54" s="12">
        <v>1.06</v>
      </c>
      <c r="S54" s="13">
        <v>17.98</v>
      </c>
      <c r="T54" s="12">
        <v>3</v>
      </c>
      <c r="U54" s="13"/>
      <c r="V54" s="12"/>
      <c r="W54" s="12"/>
      <c r="X54" s="47">
        <f>S54*T54-P54-Q54-Y54</f>
        <v>45.657499999999999</v>
      </c>
      <c r="Y54" s="12"/>
    </row>
    <row r="55" spans="1:25" s="15" customFormat="1" ht="30" x14ac:dyDescent="0.25">
      <c r="A55" s="139" t="s">
        <v>0</v>
      </c>
      <c r="B55" s="139" t="s">
        <v>361</v>
      </c>
      <c r="C55" s="139" t="s">
        <v>502</v>
      </c>
      <c r="D55" s="101" t="s">
        <v>500</v>
      </c>
      <c r="E55" s="190">
        <v>36.5</v>
      </c>
      <c r="F55" s="139" t="s">
        <v>4</v>
      </c>
      <c r="G55" s="5" t="s">
        <v>437</v>
      </c>
      <c r="H55" s="181" t="s">
        <v>738</v>
      </c>
      <c r="I55" s="6">
        <v>1</v>
      </c>
      <c r="J55" s="6">
        <v>1</v>
      </c>
      <c r="K55" s="21" t="s">
        <v>1449</v>
      </c>
      <c r="L55" s="6" t="s">
        <v>10</v>
      </c>
      <c r="M55" s="6"/>
      <c r="N55" s="31"/>
      <c r="O55" s="10"/>
      <c r="P55" s="11">
        <f t="shared" si="0"/>
        <v>0</v>
      </c>
      <c r="Q55" s="12">
        <v>5.2</v>
      </c>
      <c r="R55" s="12">
        <v>1.06</v>
      </c>
      <c r="S55" s="13">
        <v>24.17</v>
      </c>
      <c r="T55" s="12">
        <v>3</v>
      </c>
      <c r="U55" s="13"/>
      <c r="V55" s="12"/>
      <c r="W55" s="12"/>
      <c r="X55" s="47">
        <f>S55*T55-P55-Q55-Y55</f>
        <v>67.31</v>
      </c>
      <c r="Y55" s="12"/>
    </row>
    <row r="56" spans="1:25" s="15" customFormat="1" ht="30" x14ac:dyDescent="0.25">
      <c r="A56" s="139" t="s">
        <v>0</v>
      </c>
      <c r="B56" s="139" t="s">
        <v>361</v>
      </c>
      <c r="C56" s="139" t="s">
        <v>503</v>
      </c>
      <c r="D56" s="101" t="s">
        <v>151</v>
      </c>
      <c r="E56" s="190">
        <v>3.8</v>
      </c>
      <c r="F56" s="139" t="s">
        <v>4</v>
      </c>
      <c r="G56" s="5" t="s">
        <v>437</v>
      </c>
      <c r="H56" s="181" t="s">
        <v>738</v>
      </c>
      <c r="I56" s="6">
        <v>1</v>
      </c>
      <c r="J56" s="6">
        <v>1</v>
      </c>
      <c r="K56" s="21" t="s">
        <v>1449</v>
      </c>
      <c r="L56" s="6" t="s">
        <v>6</v>
      </c>
      <c r="M56" s="6" t="s">
        <v>7</v>
      </c>
      <c r="N56" s="31">
        <v>875</v>
      </c>
      <c r="O56" s="10">
        <v>2125</v>
      </c>
      <c r="P56" s="11">
        <f t="shared" si="0"/>
        <v>1.859375</v>
      </c>
      <c r="Q56" s="12"/>
      <c r="R56" s="12"/>
      <c r="S56" s="13">
        <v>8.1</v>
      </c>
      <c r="T56" s="12">
        <v>2.6</v>
      </c>
      <c r="U56" s="13">
        <f>S56*T56-P56-Q56-X56-Y56</f>
        <v>4.0281249999999993</v>
      </c>
      <c r="V56" s="12"/>
      <c r="W56" s="12"/>
      <c r="X56" s="13">
        <f>(S56-N56/1000)*2.1</f>
        <v>15.172499999999999</v>
      </c>
      <c r="Y56" s="12"/>
    </row>
    <row r="57" spans="1:25" s="15" customFormat="1" ht="30" x14ac:dyDescent="0.25">
      <c r="A57" s="139" t="s">
        <v>0</v>
      </c>
      <c r="B57" s="139" t="s">
        <v>361</v>
      </c>
      <c r="C57" s="139" t="s">
        <v>504</v>
      </c>
      <c r="D57" s="101" t="s">
        <v>52</v>
      </c>
      <c r="E57" s="190">
        <v>4.9000000000000004</v>
      </c>
      <c r="F57" s="139" t="s">
        <v>4</v>
      </c>
      <c r="G57" s="5" t="s">
        <v>437</v>
      </c>
      <c r="H57" s="181" t="s">
        <v>738</v>
      </c>
      <c r="I57" s="6">
        <v>1</v>
      </c>
      <c r="J57" s="6">
        <v>1</v>
      </c>
      <c r="K57" s="21" t="s">
        <v>1449</v>
      </c>
      <c r="L57" s="6" t="s">
        <v>6</v>
      </c>
      <c r="M57" s="6" t="s">
        <v>7</v>
      </c>
      <c r="N57" s="31">
        <v>2625</v>
      </c>
      <c r="O57" s="10">
        <v>2125</v>
      </c>
      <c r="P57" s="11">
        <f t="shared" si="0"/>
        <v>5.578125</v>
      </c>
      <c r="Q57" s="12"/>
      <c r="R57" s="12"/>
      <c r="S57" s="13">
        <v>9.3000000000000007</v>
      </c>
      <c r="T57" s="12">
        <v>2.6</v>
      </c>
      <c r="U57" s="13"/>
      <c r="V57" s="12"/>
      <c r="W57" s="12"/>
      <c r="X57" s="47">
        <f t="shared" ref="X57:X64" si="3">S57*T57-P57-Q57-Y57</f>
        <v>18.601875000000003</v>
      </c>
      <c r="Y57" s="12"/>
    </row>
    <row r="58" spans="1:25" s="15" customFormat="1" ht="30" x14ac:dyDescent="0.25">
      <c r="A58" s="139" t="s">
        <v>0</v>
      </c>
      <c r="B58" s="139" t="s">
        <v>361</v>
      </c>
      <c r="C58" s="139" t="s">
        <v>505</v>
      </c>
      <c r="D58" s="101" t="s">
        <v>65</v>
      </c>
      <c r="E58" s="190">
        <v>1.2</v>
      </c>
      <c r="F58" s="139" t="s">
        <v>4</v>
      </c>
      <c r="G58" s="5" t="s">
        <v>437</v>
      </c>
      <c r="H58" s="181" t="s">
        <v>738</v>
      </c>
      <c r="I58" s="6">
        <v>1</v>
      </c>
      <c r="J58" s="6">
        <v>1</v>
      </c>
      <c r="K58" s="21" t="s">
        <v>1449</v>
      </c>
      <c r="L58" s="6" t="s">
        <v>6</v>
      </c>
      <c r="M58" s="6" t="s">
        <v>7</v>
      </c>
      <c r="N58" s="31">
        <v>875</v>
      </c>
      <c r="O58" s="10">
        <v>2125</v>
      </c>
      <c r="P58" s="11">
        <f t="shared" si="0"/>
        <v>1.859375</v>
      </c>
      <c r="Q58" s="12"/>
      <c r="R58" s="12"/>
      <c r="S58" s="13">
        <v>4.4000000000000004</v>
      </c>
      <c r="T58" s="12">
        <v>2.6</v>
      </c>
      <c r="U58" s="13"/>
      <c r="V58" s="12"/>
      <c r="W58" s="12"/>
      <c r="X58" s="47">
        <f t="shared" si="3"/>
        <v>9.5806250000000013</v>
      </c>
      <c r="Y58" s="12"/>
    </row>
    <row r="59" spans="1:25" s="15" customFormat="1" ht="30" x14ac:dyDescent="0.25">
      <c r="A59" s="139" t="s">
        <v>0</v>
      </c>
      <c r="B59" s="139" t="s">
        <v>361</v>
      </c>
      <c r="C59" s="139" t="s">
        <v>506</v>
      </c>
      <c r="D59" s="101" t="s">
        <v>220</v>
      </c>
      <c r="E59" s="190">
        <v>1.2</v>
      </c>
      <c r="F59" s="139" t="s">
        <v>4</v>
      </c>
      <c r="G59" s="5" t="s">
        <v>437</v>
      </c>
      <c r="H59" s="181" t="s">
        <v>738</v>
      </c>
      <c r="I59" s="6">
        <v>1</v>
      </c>
      <c r="J59" s="6">
        <v>1</v>
      </c>
      <c r="K59" s="21" t="s">
        <v>1449</v>
      </c>
      <c r="L59" s="6" t="s">
        <v>81</v>
      </c>
      <c r="M59" s="6" t="s">
        <v>7</v>
      </c>
      <c r="N59" s="31">
        <v>875</v>
      </c>
      <c r="O59" s="10">
        <v>2125</v>
      </c>
      <c r="P59" s="11">
        <f t="shared" si="0"/>
        <v>1.859375</v>
      </c>
      <c r="Q59" s="12"/>
      <c r="R59" s="12"/>
      <c r="S59" s="13">
        <v>4.4000000000000004</v>
      </c>
      <c r="T59" s="12">
        <v>2.6</v>
      </c>
      <c r="U59" s="13"/>
      <c r="V59" s="12"/>
      <c r="W59" s="12"/>
      <c r="X59" s="47">
        <f t="shared" si="3"/>
        <v>9.5806250000000013</v>
      </c>
      <c r="Y59" s="12"/>
    </row>
    <row r="60" spans="1:25" s="15" customFormat="1" ht="30" x14ac:dyDescent="0.25">
      <c r="A60" s="139" t="s">
        <v>0</v>
      </c>
      <c r="B60" s="139" t="s">
        <v>361</v>
      </c>
      <c r="C60" s="139" t="s">
        <v>507</v>
      </c>
      <c r="D60" s="101" t="s">
        <v>224</v>
      </c>
      <c r="E60" s="190">
        <v>1.8</v>
      </c>
      <c r="F60" s="139" t="s">
        <v>4</v>
      </c>
      <c r="G60" s="5" t="s">
        <v>437</v>
      </c>
      <c r="H60" s="181" t="s">
        <v>738</v>
      </c>
      <c r="I60" s="6">
        <v>1</v>
      </c>
      <c r="J60" s="6">
        <v>1</v>
      </c>
      <c r="K60" s="21" t="s">
        <v>1449</v>
      </c>
      <c r="L60" s="6" t="s">
        <v>6</v>
      </c>
      <c r="M60" s="6" t="s">
        <v>7</v>
      </c>
      <c r="N60" s="31">
        <v>875</v>
      </c>
      <c r="O60" s="10">
        <v>2125</v>
      </c>
      <c r="P60" s="11">
        <f t="shared" si="0"/>
        <v>1.859375</v>
      </c>
      <c r="Q60" s="12"/>
      <c r="R60" s="12"/>
      <c r="S60" s="13">
        <v>5.4</v>
      </c>
      <c r="T60" s="12">
        <v>2.6</v>
      </c>
      <c r="U60" s="13"/>
      <c r="V60" s="12"/>
      <c r="W60" s="12"/>
      <c r="X60" s="47">
        <f t="shared" si="3"/>
        <v>12.180625000000001</v>
      </c>
      <c r="Y60" s="12"/>
    </row>
    <row r="61" spans="1:25" s="15" customFormat="1" ht="30" x14ac:dyDescent="0.25">
      <c r="A61" s="139" t="s">
        <v>0</v>
      </c>
      <c r="B61" s="139" t="s">
        <v>361</v>
      </c>
      <c r="C61" s="139" t="s">
        <v>508</v>
      </c>
      <c r="D61" s="101" t="s">
        <v>509</v>
      </c>
      <c r="E61" s="190">
        <v>1.6</v>
      </c>
      <c r="F61" s="139" t="s">
        <v>4</v>
      </c>
      <c r="G61" s="5" t="s">
        <v>437</v>
      </c>
      <c r="H61" s="181" t="s">
        <v>738</v>
      </c>
      <c r="I61" s="6">
        <v>1</v>
      </c>
      <c r="J61" s="6">
        <v>1</v>
      </c>
      <c r="K61" s="21" t="s">
        <v>1449</v>
      </c>
      <c r="L61" s="6" t="s">
        <v>6</v>
      </c>
      <c r="M61" s="6" t="s">
        <v>7</v>
      </c>
      <c r="N61" s="31">
        <v>1750</v>
      </c>
      <c r="O61" s="10">
        <v>2125</v>
      </c>
      <c r="P61" s="11">
        <f t="shared" si="0"/>
        <v>3.71875</v>
      </c>
      <c r="Q61" s="12"/>
      <c r="R61" s="12"/>
      <c r="S61" s="13">
        <v>5.2</v>
      </c>
      <c r="T61" s="12">
        <v>2.6</v>
      </c>
      <c r="U61" s="25"/>
      <c r="V61" s="12"/>
      <c r="W61" s="12"/>
      <c r="X61" s="47">
        <f t="shared" si="3"/>
        <v>9.8012500000000014</v>
      </c>
      <c r="Y61" s="12"/>
    </row>
    <row r="62" spans="1:25" s="15" customFormat="1" ht="30" x14ac:dyDescent="0.25">
      <c r="A62" s="139" t="s">
        <v>0</v>
      </c>
      <c r="B62" s="139" t="s">
        <v>361</v>
      </c>
      <c r="C62" s="139" t="s">
        <v>510</v>
      </c>
      <c r="D62" s="101" t="s">
        <v>65</v>
      </c>
      <c r="E62" s="190">
        <v>1.4</v>
      </c>
      <c r="F62" s="139" t="s">
        <v>4</v>
      </c>
      <c r="G62" s="5" t="s">
        <v>437</v>
      </c>
      <c r="H62" s="181" t="s">
        <v>738</v>
      </c>
      <c r="I62" s="6">
        <v>1</v>
      </c>
      <c r="J62" s="6">
        <v>1</v>
      </c>
      <c r="K62" s="21" t="s">
        <v>1449</v>
      </c>
      <c r="L62" s="6" t="s">
        <v>6</v>
      </c>
      <c r="M62" s="6" t="s">
        <v>7</v>
      </c>
      <c r="N62" s="31">
        <v>875</v>
      </c>
      <c r="O62" s="10">
        <v>2125</v>
      </c>
      <c r="P62" s="11">
        <f t="shared" si="0"/>
        <v>1.859375</v>
      </c>
      <c r="Q62" s="12"/>
      <c r="R62" s="12"/>
      <c r="S62" s="13">
        <v>5</v>
      </c>
      <c r="T62" s="12">
        <v>2.6</v>
      </c>
      <c r="U62" s="13"/>
      <c r="V62" s="12"/>
      <c r="W62" s="12"/>
      <c r="X62" s="47">
        <f t="shared" si="3"/>
        <v>11.140625</v>
      </c>
      <c r="Y62" s="12"/>
    </row>
    <row r="63" spans="1:25" s="15" customFormat="1" ht="30" x14ac:dyDescent="0.25">
      <c r="A63" s="139" t="s">
        <v>0</v>
      </c>
      <c r="B63" s="139" t="s">
        <v>361</v>
      </c>
      <c r="C63" s="139" t="s">
        <v>511</v>
      </c>
      <c r="D63" s="101" t="s">
        <v>512</v>
      </c>
      <c r="E63" s="190">
        <v>1.6</v>
      </c>
      <c r="F63" s="139" t="s">
        <v>4</v>
      </c>
      <c r="G63" s="5" t="s">
        <v>437</v>
      </c>
      <c r="H63" s="181" t="s">
        <v>738</v>
      </c>
      <c r="I63" s="6">
        <v>1</v>
      </c>
      <c r="J63" s="6">
        <v>1</v>
      </c>
      <c r="K63" s="21" t="s">
        <v>1449</v>
      </c>
      <c r="L63" s="6" t="s">
        <v>6</v>
      </c>
      <c r="M63" s="6" t="s">
        <v>7</v>
      </c>
      <c r="N63" s="31">
        <v>1750</v>
      </c>
      <c r="O63" s="10">
        <v>2125</v>
      </c>
      <c r="P63" s="11">
        <f t="shared" si="0"/>
        <v>3.71875</v>
      </c>
      <c r="Q63" s="12"/>
      <c r="R63" s="12"/>
      <c r="S63" s="13">
        <v>5.2</v>
      </c>
      <c r="T63" s="12">
        <v>2.6</v>
      </c>
      <c r="U63" s="13"/>
      <c r="V63" s="12"/>
      <c r="W63" s="12"/>
      <c r="X63" s="47">
        <f t="shared" si="3"/>
        <v>9.8012500000000014</v>
      </c>
      <c r="Y63" s="12"/>
    </row>
    <row r="64" spans="1:25" s="15" customFormat="1" ht="30" x14ac:dyDescent="0.25">
      <c r="A64" s="139" t="s">
        <v>0</v>
      </c>
      <c r="B64" s="139" t="s">
        <v>361</v>
      </c>
      <c r="C64" s="139" t="s">
        <v>513</v>
      </c>
      <c r="D64" s="101" t="s">
        <v>65</v>
      </c>
      <c r="E64" s="190">
        <v>1.4</v>
      </c>
      <c r="F64" s="139" t="s">
        <v>4</v>
      </c>
      <c r="G64" s="5" t="s">
        <v>437</v>
      </c>
      <c r="H64" s="181" t="s">
        <v>738</v>
      </c>
      <c r="I64" s="6"/>
      <c r="J64" s="6" t="s">
        <v>194</v>
      </c>
      <c r="K64" s="21" t="s">
        <v>1449</v>
      </c>
      <c r="L64" s="6" t="s">
        <v>6</v>
      </c>
      <c r="M64" s="6" t="s">
        <v>7</v>
      </c>
      <c r="N64" s="31">
        <v>875</v>
      </c>
      <c r="O64" s="10">
        <v>2125</v>
      </c>
      <c r="P64" s="11">
        <f t="shared" si="0"/>
        <v>1.859375</v>
      </c>
      <c r="Q64" s="12"/>
      <c r="R64" s="12"/>
      <c r="S64" s="13">
        <v>5</v>
      </c>
      <c r="T64" s="12">
        <v>2.6</v>
      </c>
      <c r="U64" s="13"/>
      <c r="V64" s="12"/>
      <c r="W64" s="12"/>
      <c r="X64" s="47">
        <f t="shared" si="3"/>
        <v>11.140625</v>
      </c>
      <c r="Y64" s="12"/>
    </row>
    <row r="65" spans="1:25" s="15" customFormat="1" ht="30" x14ac:dyDescent="0.25">
      <c r="A65" s="1" t="s">
        <v>0</v>
      </c>
      <c r="B65" s="1" t="s">
        <v>278</v>
      </c>
      <c r="C65" s="1" t="s">
        <v>514</v>
      </c>
      <c r="D65" s="28" t="s">
        <v>515</v>
      </c>
      <c r="E65" s="29">
        <v>55.1</v>
      </c>
      <c r="F65" s="1" t="s">
        <v>4</v>
      </c>
      <c r="G65" s="5" t="s">
        <v>437</v>
      </c>
      <c r="H65" s="181" t="s">
        <v>738</v>
      </c>
      <c r="I65" s="6"/>
      <c r="J65" s="6"/>
      <c r="K65" s="21" t="s">
        <v>1449</v>
      </c>
      <c r="L65" s="6" t="s">
        <v>6</v>
      </c>
      <c r="M65" s="6" t="s">
        <v>7</v>
      </c>
      <c r="N65" s="31">
        <v>3900</v>
      </c>
      <c r="O65" s="10">
        <v>2125</v>
      </c>
      <c r="P65" s="11">
        <f t="shared" si="0"/>
        <v>8.2874999999999996</v>
      </c>
      <c r="Q65" s="12"/>
      <c r="R65" s="12"/>
      <c r="S65" s="13">
        <v>28.16</v>
      </c>
      <c r="T65" s="12">
        <v>2.7</v>
      </c>
      <c r="U65" s="16">
        <f>S65*T65-P65-Q65-X65-Y65</f>
        <v>67.744500000000016</v>
      </c>
      <c r="V65" s="12"/>
      <c r="W65" s="12"/>
      <c r="X65" s="13"/>
      <c r="Y65" s="12"/>
    </row>
    <row r="66" spans="1:25" s="15" customFormat="1" ht="45" x14ac:dyDescent="0.25">
      <c r="A66" s="139" t="s">
        <v>0</v>
      </c>
      <c r="B66" s="139" t="s">
        <v>361</v>
      </c>
      <c r="C66" s="139" t="s">
        <v>516</v>
      </c>
      <c r="D66" s="101" t="s">
        <v>517</v>
      </c>
      <c r="E66" s="190">
        <v>65.2</v>
      </c>
      <c r="F66" s="139" t="s">
        <v>4</v>
      </c>
      <c r="G66" s="5" t="s">
        <v>518</v>
      </c>
      <c r="H66" s="181" t="s">
        <v>738</v>
      </c>
      <c r="I66" s="6">
        <v>1</v>
      </c>
      <c r="J66" s="6">
        <v>1</v>
      </c>
      <c r="K66" s="21" t="s">
        <v>1449</v>
      </c>
      <c r="L66" s="6" t="s">
        <v>6</v>
      </c>
      <c r="M66" s="6" t="s">
        <v>388</v>
      </c>
      <c r="N66" s="31">
        <v>6000</v>
      </c>
      <c r="O66" s="10">
        <v>2125</v>
      </c>
      <c r="P66" s="11">
        <f t="shared" si="0"/>
        <v>12.75</v>
      </c>
      <c r="Q66" s="12">
        <v>3.45</v>
      </c>
      <c r="R66" s="12">
        <v>1.1299999999999999</v>
      </c>
      <c r="S66" s="13">
        <v>27.9</v>
      </c>
      <c r="T66" s="12">
        <v>3</v>
      </c>
      <c r="U66" s="16">
        <f>S66*T66-P66-Q66-X66-Y66</f>
        <v>61.279999999999987</v>
      </c>
      <c r="V66" s="12"/>
      <c r="W66" s="12"/>
      <c r="X66" s="13"/>
      <c r="Y66" s="12">
        <v>6.22</v>
      </c>
    </row>
    <row r="67" spans="1:25" s="15" customFormat="1" ht="45" x14ac:dyDescent="0.25">
      <c r="A67" s="139" t="s">
        <v>0</v>
      </c>
      <c r="B67" s="139" t="s">
        <v>361</v>
      </c>
      <c r="C67" s="139" t="s">
        <v>519</v>
      </c>
      <c r="D67" s="101" t="s">
        <v>520</v>
      </c>
      <c r="E67" s="190">
        <v>146</v>
      </c>
      <c r="F67" s="139" t="s">
        <v>4</v>
      </c>
      <c r="G67" s="5" t="s">
        <v>518</v>
      </c>
      <c r="H67" s="181" t="s">
        <v>738</v>
      </c>
      <c r="I67" s="6">
        <v>1</v>
      </c>
      <c r="J67" s="6">
        <v>1</v>
      </c>
      <c r="K67" s="21" t="s">
        <v>1449</v>
      </c>
      <c r="L67" s="6" t="s">
        <v>6</v>
      </c>
      <c r="M67" s="6" t="s">
        <v>7</v>
      </c>
      <c r="N67" s="31">
        <v>23650</v>
      </c>
      <c r="O67" s="10">
        <v>2125</v>
      </c>
      <c r="P67" s="11">
        <f t="shared" si="0"/>
        <v>50.256249999999994</v>
      </c>
      <c r="Q67" s="12"/>
      <c r="R67" s="12"/>
      <c r="S67" s="13">
        <v>84.9</v>
      </c>
      <c r="T67" s="12">
        <v>2.5</v>
      </c>
      <c r="U67" s="16">
        <f>S67*T67-P67-Q67-X67-Y67</f>
        <v>161.99375000000001</v>
      </c>
      <c r="V67" s="12"/>
      <c r="W67" s="12"/>
      <c r="X67" s="13"/>
      <c r="Y67" s="12"/>
    </row>
    <row r="68" spans="1:25" s="15" customFormat="1" ht="45" x14ac:dyDescent="0.25">
      <c r="A68" s="139" t="s">
        <v>0</v>
      </c>
      <c r="B68" s="177" t="s">
        <v>228</v>
      </c>
      <c r="C68" s="139" t="s">
        <v>521</v>
      </c>
      <c r="D68" s="101" t="s">
        <v>224</v>
      </c>
      <c r="E68" s="190">
        <v>2.2000000000000002</v>
      </c>
      <c r="F68" s="139" t="s">
        <v>4</v>
      </c>
      <c r="G68" s="5" t="s">
        <v>518</v>
      </c>
      <c r="H68" s="181" t="s">
        <v>738</v>
      </c>
      <c r="I68" s="6">
        <v>1</v>
      </c>
      <c r="J68" s="6"/>
      <c r="K68" s="21" t="s">
        <v>1449</v>
      </c>
      <c r="L68" s="22" t="s">
        <v>6</v>
      </c>
      <c r="M68" s="22" t="s">
        <v>7</v>
      </c>
      <c r="N68" s="10">
        <v>875</v>
      </c>
      <c r="O68" s="10">
        <v>2125</v>
      </c>
      <c r="P68" s="11">
        <f t="shared" si="0"/>
        <v>1.859375</v>
      </c>
      <c r="Q68" s="12"/>
      <c r="R68" s="12"/>
      <c r="S68" s="13">
        <v>6</v>
      </c>
      <c r="T68" s="12">
        <v>2.6</v>
      </c>
      <c r="U68" s="25"/>
      <c r="V68" s="12"/>
      <c r="W68" s="12"/>
      <c r="X68" s="47">
        <f>S68*T68-P68-Q68-Y68</f>
        <v>13.740625000000001</v>
      </c>
      <c r="Y68" s="12"/>
    </row>
    <row r="69" spans="1:25" s="15" customFormat="1" ht="30" x14ac:dyDescent="0.25">
      <c r="A69" s="177" t="s">
        <v>0</v>
      </c>
      <c r="B69" s="177" t="s">
        <v>361</v>
      </c>
      <c r="C69" s="177" t="s">
        <v>522</v>
      </c>
      <c r="D69" s="193" t="s">
        <v>523</v>
      </c>
      <c r="E69" s="194">
        <v>7.3</v>
      </c>
      <c r="F69" s="177" t="s">
        <v>4</v>
      </c>
      <c r="G69" s="5" t="s">
        <v>77</v>
      </c>
      <c r="H69" s="181" t="s">
        <v>738</v>
      </c>
      <c r="I69" s="6">
        <v>1</v>
      </c>
      <c r="J69" s="6">
        <v>1</v>
      </c>
      <c r="K69" s="21" t="s">
        <v>1449</v>
      </c>
      <c r="L69" s="22" t="s">
        <v>10</v>
      </c>
      <c r="M69" s="22" t="s">
        <v>7</v>
      </c>
      <c r="N69" s="10">
        <v>900</v>
      </c>
      <c r="O69" s="10">
        <v>2125</v>
      </c>
      <c r="P69" s="11">
        <f t="shared" ref="P69:P85" si="4">N69*O69*0.000001</f>
        <v>1.9124999999999999</v>
      </c>
      <c r="Q69" s="12"/>
      <c r="R69" s="12"/>
      <c r="S69" s="13">
        <v>10.9</v>
      </c>
      <c r="T69" s="12">
        <v>3</v>
      </c>
      <c r="U69" s="16">
        <f t="shared" ref="U69:U75" si="5">S69*T69-P69-Q69-X69-Y69</f>
        <v>24.567500000000003</v>
      </c>
      <c r="V69" s="12"/>
      <c r="W69" s="12"/>
      <c r="X69" s="13"/>
      <c r="Y69" s="12">
        <v>6.22</v>
      </c>
    </row>
    <row r="70" spans="1:25" s="15" customFormat="1" ht="30" x14ac:dyDescent="0.25">
      <c r="A70" s="177" t="s">
        <v>0</v>
      </c>
      <c r="B70" s="177" t="s">
        <v>361</v>
      </c>
      <c r="C70" s="177" t="s">
        <v>524</v>
      </c>
      <c r="D70" s="193" t="s">
        <v>525</v>
      </c>
      <c r="E70" s="194">
        <v>5.2</v>
      </c>
      <c r="F70" s="177" t="s">
        <v>4</v>
      </c>
      <c r="G70" s="5" t="s">
        <v>77</v>
      </c>
      <c r="H70" s="181" t="s">
        <v>738</v>
      </c>
      <c r="I70" s="6">
        <v>1</v>
      </c>
      <c r="J70" s="6">
        <v>1</v>
      </c>
      <c r="K70" s="21" t="s">
        <v>1449</v>
      </c>
      <c r="L70" s="22" t="s">
        <v>6</v>
      </c>
      <c r="M70" s="22" t="s">
        <v>7</v>
      </c>
      <c r="N70" s="10">
        <v>875</v>
      </c>
      <c r="O70" s="10">
        <v>2125</v>
      </c>
      <c r="P70" s="11">
        <f t="shared" si="4"/>
        <v>1.859375</v>
      </c>
      <c r="Q70" s="12"/>
      <c r="R70" s="12"/>
      <c r="S70" s="13">
        <v>9.3000000000000007</v>
      </c>
      <c r="T70" s="12">
        <v>2.7</v>
      </c>
      <c r="U70" s="11">
        <f t="shared" si="5"/>
        <v>23.250625000000003</v>
      </c>
      <c r="V70" s="12"/>
      <c r="W70" s="12"/>
      <c r="X70" s="13"/>
      <c r="Y70" s="12"/>
    </row>
    <row r="71" spans="1:25" s="15" customFormat="1" ht="30" x14ac:dyDescent="0.25">
      <c r="A71" s="177" t="s">
        <v>0</v>
      </c>
      <c r="B71" s="177" t="s">
        <v>361</v>
      </c>
      <c r="C71" s="177" t="s">
        <v>526</v>
      </c>
      <c r="D71" s="193" t="s">
        <v>221</v>
      </c>
      <c r="E71" s="194">
        <v>13.9</v>
      </c>
      <c r="F71" s="177" t="s">
        <v>4</v>
      </c>
      <c r="G71" s="5" t="s">
        <v>77</v>
      </c>
      <c r="H71" s="181" t="s">
        <v>738</v>
      </c>
      <c r="I71" s="6">
        <v>1</v>
      </c>
      <c r="J71" s="6">
        <v>1</v>
      </c>
      <c r="K71" s="21" t="s">
        <v>1449</v>
      </c>
      <c r="L71" s="22" t="s">
        <v>10</v>
      </c>
      <c r="M71" s="22" t="s">
        <v>7</v>
      </c>
      <c r="N71" s="10">
        <v>875</v>
      </c>
      <c r="O71" s="10">
        <v>2125</v>
      </c>
      <c r="P71" s="11">
        <f t="shared" si="4"/>
        <v>1.859375</v>
      </c>
      <c r="Q71" s="12">
        <v>3.45</v>
      </c>
      <c r="R71" s="12">
        <v>1.1299999999999999</v>
      </c>
      <c r="S71" s="13">
        <v>14.95</v>
      </c>
      <c r="T71" s="12">
        <v>3</v>
      </c>
      <c r="U71" s="11">
        <f t="shared" si="5"/>
        <v>37.960624999999993</v>
      </c>
      <c r="V71" s="12"/>
      <c r="W71" s="12"/>
      <c r="X71" s="13"/>
      <c r="Y71" s="12">
        <v>1.58</v>
      </c>
    </row>
    <row r="72" spans="1:25" s="15" customFormat="1" ht="30" x14ac:dyDescent="0.25">
      <c r="A72" s="44" t="s">
        <v>0</v>
      </c>
      <c r="B72" s="44" t="s">
        <v>278</v>
      </c>
      <c r="C72" s="44" t="s">
        <v>527</v>
      </c>
      <c r="D72" s="45" t="s">
        <v>528</v>
      </c>
      <c r="E72" s="46">
        <v>21.8</v>
      </c>
      <c r="F72" s="44" t="s">
        <v>4</v>
      </c>
      <c r="G72" s="5" t="s">
        <v>77</v>
      </c>
      <c r="H72" s="181" t="s">
        <v>738</v>
      </c>
      <c r="I72" s="6"/>
      <c r="J72" s="6"/>
      <c r="K72" s="21" t="s">
        <v>1449</v>
      </c>
      <c r="L72" s="22" t="s">
        <v>6</v>
      </c>
      <c r="M72" s="22" t="s">
        <v>7</v>
      </c>
      <c r="N72" s="10">
        <v>1500</v>
      </c>
      <c r="O72" s="10">
        <v>2125</v>
      </c>
      <c r="P72" s="11">
        <f t="shared" si="4"/>
        <v>3.1875</v>
      </c>
      <c r="Q72" s="12"/>
      <c r="R72" s="12"/>
      <c r="S72" s="13">
        <v>22.35</v>
      </c>
      <c r="T72" s="12">
        <v>3</v>
      </c>
      <c r="U72" s="11">
        <f t="shared" si="5"/>
        <v>63.862500000000011</v>
      </c>
      <c r="V72" s="12"/>
      <c r="W72" s="12"/>
      <c r="X72" s="13"/>
      <c r="Y72" s="12"/>
    </row>
    <row r="73" spans="1:25" s="15" customFormat="1" ht="30" x14ac:dyDescent="0.25">
      <c r="A73" s="44" t="s">
        <v>0</v>
      </c>
      <c r="B73" s="44" t="s">
        <v>278</v>
      </c>
      <c r="C73" s="44" t="s">
        <v>529</v>
      </c>
      <c r="D73" s="45" t="s">
        <v>151</v>
      </c>
      <c r="E73" s="46">
        <v>5.3</v>
      </c>
      <c r="F73" s="44" t="s">
        <v>4</v>
      </c>
      <c r="G73" s="5" t="s">
        <v>77</v>
      </c>
      <c r="H73" s="181" t="s">
        <v>738</v>
      </c>
      <c r="I73" s="6"/>
      <c r="J73" s="6"/>
      <c r="K73" s="21" t="s">
        <v>1449</v>
      </c>
      <c r="L73" s="22" t="s">
        <v>6</v>
      </c>
      <c r="M73" s="22" t="s">
        <v>7</v>
      </c>
      <c r="N73" s="10">
        <v>875</v>
      </c>
      <c r="O73" s="10">
        <v>2125</v>
      </c>
      <c r="P73" s="11">
        <f t="shared" si="4"/>
        <v>1.859375</v>
      </c>
      <c r="Q73" s="12"/>
      <c r="R73" s="12"/>
      <c r="S73" s="13">
        <v>9.4700000000000006</v>
      </c>
      <c r="T73" s="12">
        <v>2.7</v>
      </c>
      <c r="U73" s="25">
        <f t="shared" si="5"/>
        <v>5.6601250000000007</v>
      </c>
      <c r="V73" s="12"/>
      <c r="W73" s="12"/>
      <c r="X73" s="13">
        <f>(S73-N73/1000)*2.1</f>
        <v>18.049500000000002</v>
      </c>
      <c r="Y73" s="12"/>
    </row>
    <row r="74" spans="1:25" s="48" customFormat="1" ht="30" x14ac:dyDescent="0.25">
      <c r="A74" s="139" t="s">
        <v>0</v>
      </c>
      <c r="B74" s="139" t="s">
        <v>228</v>
      </c>
      <c r="C74" s="177" t="s">
        <v>530</v>
      </c>
      <c r="D74" s="193" t="s">
        <v>55</v>
      </c>
      <c r="E74" s="194">
        <v>26</v>
      </c>
      <c r="F74" s="139" t="s">
        <v>4</v>
      </c>
      <c r="G74" s="5" t="s">
        <v>77</v>
      </c>
      <c r="H74" s="181" t="s">
        <v>738</v>
      </c>
      <c r="I74" s="6">
        <v>1</v>
      </c>
      <c r="J74" s="22"/>
      <c r="K74" s="21" t="s">
        <v>1449</v>
      </c>
      <c r="L74" s="6" t="s">
        <v>6</v>
      </c>
      <c r="M74" s="6" t="s">
        <v>7</v>
      </c>
      <c r="N74" s="31">
        <v>8700</v>
      </c>
      <c r="O74" s="31">
        <v>2125</v>
      </c>
      <c r="P74" s="16">
        <f t="shared" si="4"/>
        <v>18.487500000000001</v>
      </c>
      <c r="Q74" s="24"/>
      <c r="R74" s="12"/>
      <c r="S74" s="13">
        <v>39.08</v>
      </c>
      <c r="T74" s="24">
        <v>3</v>
      </c>
      <c r="U74" s="16">
        <f t="shared" si="5"/>
        <v>98.752499999999998</v>
      </c>
      <c r="V74" s="12"/>
      <c r="W74" s="12"/>
      <c r="X74" s="13"/>
      <c r="Y74" s="12"/>
    </row>
    <row r="75" spans="1:25" s="48" customFormat="1" ht="30" x14ac:dyDescent="0.25">
      <c r="A75" s="139" t="s">
        <v>0</v>
      </c>
      <c r="B75" s="139" t="s">
        <v>228</v>
      </c>
      <c r="C75" s="177" t="s">
        <v>531</v>
      </c>
      <c r="D75" s="193" t="s">
        <v>222</v>
      </c>
      <c r="E75" s="194">
        <v>15.2</v>
      </c>
      <c r="F75" s="139" t="s">
        <v>4</v>
      </c>
      <c r="G75" s="5" t="s">
        <v>77</v>
      </c>
      <c r="H75" s="181" t="s">
        <v>738</v>
      </c>
      <c r="I75" s="6">
        <v>1</v>
      </c>
      <c r="J75" s="22"/>
      <c r="K75" s="21" t="s">
        <v>1449</v>
      </c>
      <c r="L75" s="6" t="s">
        <v>6</v>
      </c>
      <c r="M75" s="6" t="s">
        <v>7</v>
      </c>
      <c r="N75" s="31">
        <v>1875</v>
      </c>
      <c r="O75" s="31">
        <v>2125</v>
      </c>
      <c r="P75" s="16">
        <f t="shared" si="4"/>
        <v>3.984375</v>
      </c>
      <c r="Q75" s="24">
        <v>3.56</v>
      </c>
      <c r="R75" s="12">
        <v>1.18</v>
      </c>
      <c r="S75" s="13">
        <v>18.38</v>
      </c>
      <c r="T75" s="24">
        <v>3</v>
      </c>
      <c r="U75" s="16">
        <f t="shared" si="5"/>
        <v>47.595624999999998</v>
      </c>
      <c r="V75" s="12"/>
      <c r="W75" s="12"/>
      <c r="X75" s="13"/>
      <c r="Y75" s="12"/>
    </row>
    <row r="76" spans="1:25" s="48" customFormat="1" ht="30" x14ac:dyDescent="0.25">
      <c r="A76" s="139" t="s">
        <v>0</v>
      </c>
      <c r="B76" s="139" t="s">
        <v>228</v>
      </c>
      <c r="C76" s="177" t="s">
        <v>532</v>
      </c>
      <c r="D76" s="193" t="s">
        <v>101</v>
      </c>
      <c r="E76" s="194">
        <v>2.9</v>
      </c>
      <c r="F76" s="139" t="s">
        <v>4</v>
      </c>
      <c r="G76" s="21" t="s">
        <v>77</v>
      </c>
      <c r="H76" s="181" t="s">
        <v>738</v>
      </c>
      <c r="I76" s="6">
        <v>1</v>
      </c>
      <c r="J76" s="22"/>
      <c r="K76" s="21" t="s">
        <v>1449</v>
      </c>
      <c r="L76" s="6" t="s">
        <v>10</v>
      </c>
      <c r="M76" s="6" t="s">
        <v>7</v>
      </c>
      <c r="N76" s="31">
        <v>750</v>
      </c>
      <c r="O76" s="31">
        <v>2125</v>
      </c>
      <c r="P76" s="16">
        <f t="shared" si="4"/>
        <v>1.59375</v>
      </c>
      <c r="Q76" s="24"/>
      <c r="R76" s="12"/>
      <c r="S76" s="13">
        <v>6.8</v>
      </c>
      <c r="T76" s="24">
        <v>2.6</v>
      </c>
      <c r="U76" s="13"/>
      <c r="V76" s="12"/>
      <c r="W76" s="12"/>
      <c r="X76" s="47">
        <f>S76*T76-P76-Q76-Y76</f>
        <v>16.08625</v>
      </c>
      <c r="Y76" s="12"/>
    </row>
    <row r="77" spans="1:25" s="48" customFormat="1" ht="30" x14ac:dyDescent="0.25">
      <c r="A77" s="139" t="s">
        <v>0</v>
      </c>
      <c r="B77" s="139" t="s">
        <v>228</v>
      </c>
      <c r="C77" s="177" t="s">
        <v>533</v>
      </c>
      <c r="D77" s="193" t="s">
        <v>222</v>
      </c>
      <c r="E77" s="194">
        <v>15</v>
      </c>
      <c r="F77" s="139" t="s">
        <v>4</v>
      </c>
      <c r="G77" s="21" t="s">
        <v>77</v>
      </c>
      <c r="H77" s="181" t="s">
        <v>738</v>
      </c>
      <c r="I77" s="6">
        <v>1</v>
      </c>
      <c r="J77" s="22"/>
      <c r="K77" s="21" t="s">
        <v>1449</v>
      </c>
      <c r="L77" s="6" t="s">
        <v>81</v>
      </c>
      <c r="M77" s="6" t="s">
        <v>7</v>
      </c>
      <c r="N77" s="31">
        <v>1875</v>
      </c>
      <c r="O77" s="31">
        <v>2125</v>
      </c>
      <c r="P77" s="16">
        <f t="shared" si="4"/>
        <v>3.984375</v>
      </c>
      <c r="Q77" s="24">
        <v>3.56</v>
      </c>
      <c r="R77" s="12">
        <v>1.18</v>
      </c>
      <c r="S77" s="13">
        <v>18.29</v>
      </c>
      <c r="T77" s="24">
        <v>3</v>
      </c>
      <c r="U77" s="16">
        <f>S77*T77-P77-Q77-X77-Y77</f>
        <v>47.325624999999995</v>
      </c>
      <c r="V77" s="12"/>
      <c r="W77" s="12"/>
      <c r="X77" s="13"/>
      <c r="Y77" s="12"/>
    </row>
    <row r="78" spans="1:25" s="48" customFormat="1" ht="30" x14ac:dyDescent="0.25">
      <c r="A78" s="139" t="s">
        <v>0</v>
      </c>
      <c r="B78" s="139" t="s">
        <v>228</v>
      </c>
      <c r="C78" s="177" t="s">
        <v>534</v>
      </c>
      <c r="D78" s="193" t="s">
        <v>101</v>
      </c>
      <c r="E78" s="194">
        <v>2.9</v>
      </c>
      <c r="F78" s="139" t="s">
        <v>4</v>
      </c>
      <c r="G78" s="21" t="s">
        <v>77</v>
      </c>
      <c r="H78" s="181" t="s">
        <v>738</v>
      </c>
      <c r="I78" s="6">
        <v>1</v>
      </c>
      <c r="J78" s="22"/>
      <c r="K78" s="21" t="s">
        <v>1449</v>
      </c>
      <c r="L78" s="6" t="s">
        <v>10</v>
      </c>
      <c r="M78" s="6" t="s">
        <v>7</v>
      </c>
      <c r="N78" s="31">
        <v>750</v>
      </c>
      <c r="O78" s="31">
        <v>2125</v>
      </c>
      <c r="P78" s="16">
        <f t="shared" si="4"/>
        <v>1.59375</v>
      </c>
      <c r="Q78" s="24"/>
      <c r="R78" s="12"/>
      <c r="S78" s="13">
        <v>6.8</v>
      </c>
      <c r="T78" s="24">
        <v>2.6</v>
      </c>
      <c r="U78" s="13"/>
      <c r="V78" s="12"/>
      <c r="W78" s="12"/>
      <c r="X78" s="47">
        <f>S78*T78-P78-Q78-Y78</f>
        <v>16.08625</v>
      </c>
      <c r="Y78" s="12"/>
    </row>
    <row r="79" spans="1:25" s="48" customFormat="1" ht="30" x14ac:dyDescent="0.25">
      <c r="A79" s="139" t="s">
        <v>0</v>
      </c>
      <c r="B79" s="139" t="s">
        <v>228</v>
      </c>
      <c r="C79" s="177" t="s">
        <v>535</v>
      </c>
      <c r="D79" s="193" t="s">
        <v>536</v>
      </c>
      <c r="E79" s="194">
        <v>17.3</v>
      </c>
      <c r="F79" s="139" t="s">
        <v>4</v>
      </c>
      <c r="G79" s="21" t="s">
        <v>77</v>
      </c>
      <c r="H79" s="181" t="s">
        <v>738</v>
      </c>
      <c r="I79" s="6">
        <v>1</v>
      </c>
      <c r="J79" s="22"/>
      <c r="K79" s="21" t="s">
        <v>1449</v>
      </c>
      <c r="L79" s="6" t="s">
        <v>81</v>
      </c>
      <c r="M79" s="6" t="s">
        <v>7</v>
      </c>
      <c r="N79" s="31">
        <v>1875</v>
      </c>
      <c r="O79" s="31">
        <v>2125</v>
      </c>
      <c r="P79" s="16">
        <f t="shared" si="4"/>
        <v>3.984375</v>
      </c>
      <c r="Q79" s="24">
        <v>3.56</v>
      </c>
      <c r="R79" s="12">
        <v>1.18</v>
      </c>
      <c r="S79" s="13">
        <v>18.39</v>
      </c>
      <c r="T79" s="24">
        <v>3</v>
      </c>
      <c r="U79" s="16">
        <f>S79*T79-P79-Q79-X79-Y79</f>
        <v>47.625624999999999</v>
      </c>
      <c r="V79" s="12"/>
      <c r="W79" s="12"/>
      <c r="X79" s="13"/>
      <c r="Y79" s="12"/>
    </row>
    <row r="80" spans="1:25" s="48" customFormat="1" ht="30" x14ac:dyDescent="0.25">
      <c r="A80" s="139" t="s">
        <v>0</v>
      </c>
      <c r="B80" s="139" t="s">
        <v>228</v>
      </c>
      <c r="C80" s="177" t="s">
        <v>537</v>
      </c>
      <c r="D80" s="193" t="s">
        <v>101</v>
      </c>
      <c r="E80" s="194">
        <v>2.9</v>
      </c>
      <c r="F80" s="139" t="s">
        <v>4</v>
      </c>
      <c r="G80" s="21" t="s">
        <v>77</v>
      </c>
      <c r="H80" s="181" t="s">
        <v>738</v>
      </c>
      <c r="I80" s="6">
        <v>1</v>
      </c>
      <c r="J80" s="22"/>
      <c r="K80" s="21" t="s">
        <v>1449</v>
      </c>
      <c r="L80" s="6" t="s">
        <v>10</v>
      </c>
      <c r="M80" s="6" t="s">
        <v>7</v>
      </c>
      <c r="N80" s="31">
        <v>750</v>
      </c>
      <c r="O80" s="31">
        <v>2125</v>
      </c>
      <c r="P80" s="16">
        <f t="shared" si="4"/>
        <v>1.59375</v>
      </c>
      <c r="Q80" s="24"/>
      <c r="R80" s="12"/>
      <c r="S80" s="13">
        <v>6.8</v>
      </c>
      <c r="T80" s="24">
        <v>2.6</v>
      </c>
      <c r="U80" s="13"/>
      <c r="V80" s="12"/>
      <c r="W80" s="12"/>
      <c r="X80" s="47">
        <f>S80*T80-P80-Q80-Y80</f>
        <v>16.08625</v>
      </c>
      <c r="Y80" s="12"/>
    </row>
    <row r="81" spans="1:25" s="48" customFormat="1" ht="30" x14ac:dyDescent="0.25">
      <c r="A81" s="139" t="s">
        <v>0</v>
      </c>
      <c r="B81" s="139" t="s">
        <v>228</v>
      </c>
      <c r="C81" s="177" t="s">
        <v>538</v>
      </c>
      <c r="D81" s="193" t="s">
        <v>539</v>
      </c>
      <c r="E81" s="194">
        <v>18</v>
      </c>
      <c r="F81" s="139" t="s">
        <v>4</v>
      </c>
      <c r="G81" s="21" t="s">
        <v>77</v>
      </c>
      <c r="H81" s="181" t="s">
        <v>738</v>
      </c>
      <c r="I81" s="6">
        <v>1</v>
      </c>
      <c r="J81" s="22"/>
      <c r="K81" s="21" t="s">
        <v>1449</v>
      </c>
      <c r="L81" s="6" t="s">
        <v>81</v>
      </c>
      <c r="M81" s="6" t="s">
        <v>7</v>
      </c>
      <c r="N81" s="31">
        <v>1750</v>
      </c>
      <c r="O81" s="31">
        <v>2125</v>
      </c>
      <c r="P81" s="16">
        <f t="shared" si="4"/>
        <v>3.71875</v>
      </c>
      <c r="Q81" s="24">
        <v>3.56</v>
      </c>
      <c r="R81" s="12">
        <v>1.18</v>
      </c>
      <c r="S81" s="13">
        <v>20.94</v>
      </c>
      <c r="T81" s="24">
        <v>3</v>
      </c>
      <c r="U81" s="16">
        <f>S81*T81-P81-Q81-X81-Y81</f>
        <v>55.541250000000005</v>
      </c>
      <c r="V81" s="12"/>
      <c r="W81" s="12"/>
      <c r="X81" s="13"/>
      <c r="Y81" s="12"/>
    </row>
    <row r="82" spans="1:25" s="48" customFormat="1" ht="30" x14ac:dyDescent="0.25">
      <c r="A82" s="139" t="s">
        <v>0</v>
      </c>
      <c r="B82" s="139" t="s">
        <v>228</v>
      </c>
      <c r="C82" s="177" t="s">
        <v>540</v>
      </c>
      <c r="D82" s="193" t="s">
        <v>151</v>
      </c>
      <c r="E82" s="194">
        <v>4.4000000000000004</v>
      </c>
      <c r="F82" s="139" t="s">
        <v>4</v>
      </c>
      <c r="G82" s="21" t="s">
        <v>77</v>
      </c>
      <c r="H82" s="181" t="s">
        <v>738</v>
      </c>
      <c r="I82" s="6">
        <v>1</v>
      </c>
      <c r="J82" s="22"/>
      <c r="K82" s="21" t="s">
        <v>1449</v>
      </c>
      <c r="L82" s="6" t="s">
        <v>10</v>
      </c>
      <c r="M82" s="6" t="s">
        <v>7</v>
      </c>
      <c r="N82" s="31">
        <v>875</v>
      </c>
      <c r="O82" s="31">
        <v>2125</v>
      </c>
      <c r="P82" s="16">
        <f t="shared" si="4"/>
        <v>1.859375</v>
      </c>
      <c r="Q82" s="24"/>
      <c r="R82" s="12"/>
      <c r="S82" s="13">
        <v>8.48</v>
      </c>
      <c r="T82" s="24">
        <v>2.6</v>
      </c>
      <c r="U82" s="13">
        <f>S82*T82-P82-Q82-X82-Y82</f>
        <v>4.2181250000000006</v>
      </c>
      <c r="V82" s="12"/>
      <c r="W82" s="12"/>
      <c r="X82" s="13">
        <f>(S82-N82/1000)*2.1</f>
        <v>15.970500000000001</v>
      </c>
      <c r="Y82" s="12"/>
    </row>
    <row r="83" spans="1:25" s="48" customFormat="1" ht="30" x14ac:dyDescent="0.25">
      <c r="A83" s="139" t="s">
        <v>0</v>
      </c>
      <c r="B83" s="139" t="s">
        <v>228</v>
      </c>
      <c r="C83" s="177" t="s">
        <v>541</v>
      </c>
      <c r="D83" s="193" t="s">
        <v>219</v>
      </c>
      <c r="E83" s="194">
        <v>1.5</v>
      </c>
      <c r="F83" s="139" t="s">
        <v>4</v>
      </c>
      <c r="G83" s="21" t="s">
        <v>77</v>
      </c>
      <c r="H83" s="181" t="s">
        <v>738</v>
      </c>
      <c r="I83" s="6">
        <v>1</v>
      </c>
      <c r="J83" s="22"/>
      <c r="K83" s="21" t="s">
        <v>1449</v>
      </c>
      <c r="L83" s="6" t="s">
        <v>6</v>
      </c>
      <c r="M83" s="6" t="s">
        <v>7</v>
      </c>
      <c r="N83" s="31">
        <v>2375</v>
      </c>
      <c r="O83" s="31">
        <v>2125</v>
      </c>
      <c r="P83" s="16">
        <f t="shared" si="4"/>
        <v>5.046875</v>
      </c>
      <c r="Q83" s="24"/>
      <c r="R83" s="12"/>
      <c r="S83" s="13">
        <v>4.97</v>
      </c>
      <c r="T83" s="24">
        <v>2.6</v>
      </c>
      <c r="U83" s="13"/>
      <c r="V83" s="12"/>
      <c r="W83" s="12"/>
      <c r="X83" s="47">
        <f>S83*T83-P83-Q83-Y83</f>
        <v>7.8751250000000006</v>
      </c>
      <c r="Y83" s="12"/>
    </row>
    <row r="84" spans="1:25" s="48" customFormat="1" ht="30" x14ac:dyDescent="0.25">
      <c r="A84" s="139" t="s">
        <v>0</v>
      </c>
      <c r="B84" s="139" t="s">
        <v>228</v>
      </c>
      <c r="C84" s="177" t="s">
        <v>542</v>
      </c>
      <c r="D84" s="193" t="s">
        <v>220</v>
      </c>
      <c r="E84" s="194">
        <v>1.8</v>
      </c>
      <c r="F84" s="139" t="s">
        <v>4</v>
      </c>
      <c r="G84" s="21" t="s">
        <v>77</v>
      </c>
      <c r="H84" s="181" t="s">
        <v>738</v>
      </c>
      <c r="I84" s="6">
        <v>1</v>
      </c>
      <c r="J84" s="22"/>
      <c r="K84" s="21" t="s">
        <v>1449</v>
      </c>
      <c r="L84" s="6" t="s">
        <v>6</v>
      </c>
      <c r="M84" s="6" t="s">
        <v>7</v>
      </c>
      <c r="N84" s="31">
        <v>2550</v>
      </c>
      <c r="O84" s="31">
        <v>2125</v>
      </c>
      <c r="P84" s="16">
        <f t="shared" si="4"/>
        <v>5.4187500000000002</v>
      </c>
      <c r="Q84" s="24"/>
      <c r="R84" s="12"/>
      <c r="S84" s="13">
        <v>5.8</v>
      </c>
      <c r="T84" s="24">
        <v>2.6</v>
      </c>
      <c r="U84" s="13"/>
      <c r="V84" s="12"/>
      <c r="W84" s="12"/>
      <c r="X84" s="47">
        <f>S84*T84-P84-Q84-Y84</f>
        <v>9.661249999999999</v>
      </c>
      <c r="Y84" s="12"/>
    </row>
    <row r="85" spans="1:25" s="48" customFormat="1" ht="30" x14ac:dyDescent="0.25">
      <c r="A85" s="139" t="s">
        <v>0</v>
      </c>
      <c r="B85" s="139" t="s">
        <v>228</v>
      </c>
      <c r="C85" s="177" t="s">
        <v>543</v>
      </c>
      <c r="D85" s="193" t="s">
        <v>65</v>
      </c>
      <c r="E85" s="194">
        <v>1.3</v>
      </c>
      <c r="F85" s="139" t="s">
        <v>4</v>
      </c>
      <c r="G85" s="21" t="s">
        <v>77</v>
      </c>
      <c r="H85" s="181" t="s">
        <v>738</v>
      </c>
      <c r="I85" s="6">
        <v>1</v>
      </c>
      <c r="J85" s="22"/>
      <c r="K85" s="21" t="s">
        <v>1449</v>
      </c>
      <c r="L85" s="6" t="s">
        <v>81</v>
      </c>
      <c r="M85" s="6" t="s">
        <v>7</v>
      </c>
      <c r="N85" s="31">
        <v>750</v>
      </c>
      <c r="O85" s="31">
        <v>2125</v>
      </c>
      <c r="P85" s="16">
        <f t="shared" si="4"/>
        <v>1.59375</v>
      </c>
      <c r="Q85" s="24"/>
      <c r="R85" s="12"/>
      <c r="S85" s="13">
        <v>4.47</v>
      </c>
      <c r="T85" s="24">
        <v>2.6</v>
      </c>
      <c r="U85" s="13"/>
      <c r="V85" s="12"/>
      <c r="W85" s="12"/>
      <c r="X85" s="47">
        <f>S85*T85-P85-Q85-Y85</f>
        <v>10.02825</v>
      </c>
      <c r="Y85" s="12"/>
    </row>
    <row r="86" spans="1:25" ht="17.25" x14ac:dyDescent="0.25">
      <c r="C86" s="280" t="s">
        <v>274</v>
      </c>
      <c r="D86" s="284"/>
      <c r="E86" s="285">
        <f>SUM(E5:F85)</f>
        <v>1420.4</v>
      </c>
      <c r="F86" s="284" t="s">
        <v>1560</v>
      </c>
    </row>
    <row r="88" spans="1:25" x14ac:dyDescent="0.25">
      <c r="C88" s="278" t="s">
        <v>1807</v>
      </c>
      <c r="D88" s="342"/>
      <c r="E88" s="358"/>
      <c r="F88" s="65"/>
    </row>
    <row r="89" spans="1:25" ht="17.25" x14ac:dyDescent="0.25">
      <c r="C89" s="65"/>
      <c r="D89" s="358" t="s">
        <v>1808</v>
      </c>
      <c r="E89" s="345">
        <v>0</v>
      </c>
      <c r="F89" s="342" t="s">
        <v>1560</v>
      </c>
    </row>
    <row r="90" spans="1:25" ht="17.25" x14ac:dyDescent="0.25">
      <c r="C90" s="65"/>
      <c r="D90" s="358" t="s">
        <v>37</v>
      </c>
      <c r="E90" s="345">
        <f>SUM(E5:E68)</f>
        <v>1257.6999999999998</v>
      </c>
      <c r="F90" s="342" t="s">
        <v>1560</v>
      </c>
    </row>
    <row r="91" spans="1:25" ht="17.25" x14ac:dyDescent="0.25">
      <c r="C91" s="65"/>
      <c r="D91" s="358" t="s">
        <v>77</v>
      </c>
      <c r="E91" s="345">
        <f>SUM(E69:E85)</f>
        <v>162.70000000000005</v>
      </c>
      <c r="F91" s="342" t="s">
        <v>1560</v>
      </c>
    </row>
    <row r="92" spans="1:25" ht="17.25" x14ac:dyDescent="0.25">
      <c r="C92" s="65"/>
      <c r="D92" s="358" t="s">
        <v>229</v>
      </c>
      <c r="E92" s="345">
        <v>0</v>
      </c>
      <c r="F92" s="342" t="s">
        <v>1560</v>
      </c>
    </row>
    <row r="93" spans="1:25" ht="17.25" x14ac:dyDescent="0.25">
      <c r="C93" s="65"/>
      <c r="D93" s="359" t="s">
        <v>274</v>
      </c>
      <c r="E93" s="345">
        <f>SUM(E89:E92)</f>
        <v>1420.3999999999999</v>
      </c>
      <c r="F93" s="342" t="s">
        <v>1560</v>
      </c>
    </row>
    <row r="95" spans="1:25" x14ac:dyDescent="0.25">
      <c r="C95" s="284" t="s">
        <v>1974</v>
      </c>
    </row>
    <row r="96" spans="1:25" x14ac:dyDescent="0.25">
      <c r="C96" s="284" t="s">
        <v>1970</v>
      </c>
      <c r="D96" s="305"/>
      <c r="E96" s="503"/>
    </row>
    <row r="97" spans="3:5" x14ac:dyDescent="0.25">
      <c r="C97" s="504" t="s">
        <v>1968</v>
      </c>
      <c r="D97" s="305"/>
      <c r="E97" s="503" t="s">
        <v>1971</v>
      </c>
    </row>
    <row r="98" spans="3:5" x14ac:dyDescent="0.25">
      <c r="C98" s="504" t="s">
        <v>1969</v>
      </c>
      <c r="D98" s="305"/>
      <c r="E98" s="503" t="s">
        <v>1975</v>
      </c>
    </row>
    <row r="99" spans="3:5" x14ac:dyDescent="0.25">
      <c r="C99" s="284" t="s">
        <v>1964</v>
      </c>
      <c r="D99" s="305"/>
      <c r="E99" s="503" t="s">
        <v>1967</v>
      </c>
    </row>
    <row r="100" spans="3:5" x14ac:dyDescent="0.25">
      <c r="C100" s="284" t="s">
        <v>1976</v>
      </c>
    </row>
  </sheetData>
  <sheetProtection password="87E5" sheet="1" objects="1" scenarios="1"/>
  <mergeCells count="26">
    <mergeCell ref="H1:H4"/>
    <mergeCell ref="A1:F2"/>
    <mergeCell ref="G1:G4"/>
    <mergeCell ref="A3:A4"/>
    <mergeCell ref="B3:B4"/>
    <mergeCell ref="C3:C4"/>
    <mergeCell ref="D3:D4"/>
    <mergeCell ref="E3:F4"/>
    <mergeCell ref="M1:O4"/>
    <mergeCell ref="P1:P4"/>
    <mergeCell ref="Q1:Q4"/>
    <mergeCell ref="R1:R4"/>
    <mergeCell ref="I1:I4"/>
    <mergeCell ref="J1:J4"/>
    <mergeCell ref="K1:K4"/>
    <mergeCell ref="L1:L4"/>
    <mergeCell ref="S1:S4"/>
    <mergeCell ref="T1:T4"/>
    <mergeCell ref="U1:X1"/>
    <mergeCell ref="Y1:Y4"/>
    <mergeCell ref="U2:V2"/>
    <mergeCell ref="W2:X2"/>
    <mergeCell ref="U3:U4"/>
    <mergeCell ref="V3:V4"/>
    <mergeCell ref="W3:W4"/>
    <mergeCell ref="X3:X4"/>
  </mergeCells>
  <dataValidations disablePrompts="1" count="1">
    <dataValidation type="list" allowBlank="1" showInputMessage="1" showErrorMessage="1" sqref="G5:G85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48" fitToHeight="0" orientation="landscape" r:id="rId1"/>
  <headerFoot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zoomScale="90" zoomScaleNormal="90" workbookViewId="0">
      <pane xSplit="7" ySplit="4" topLeftCell="H114" activePane="bottomRight" state="frozen"/>
      <selection pane="topRight" activeCell="H1" sqref="H1"/>
      <selection pane="bottomLeft" activeCell="A5" sqref="A5"/>
      <selection pane="bottomRight" activeCell="E132" sqref="E132:E133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1" bestFit="1" customWidth="1"/>
    <col min="4" max="4" width="23.5703125" style="64" bestFit="1" customWidth="1"/>
    <col min="5" max="5" width="8.7109375" bestFit="1" customWidth="1"/>
    <col min="6" max="6" width="3.7109375" bestFit="1" customWidth="1"/>
    <col min="7" max="7" width="11.7109375" customWidth="1"/>
    <col min="8" max="8" width="14.42578125" customWidth="1"/>
    <col min="9" max="9" width="15.28515625" customWidth="1"/>
    <col min="10" max="10" width="16" customWidth="1"/>
    <col min="11" max="11" width="28.85546875" customWidth="1"/>
    <col min="12" max="12" width="9.7109375" customWidth="1"/>
    <col min="13" max="13" width="7" customWidth="1"/>
    <col min="14" max="14" width="7.28515625" customWidth="1"/>
    <col min="15" max="15" width="6.140625" customWidth="1"/>
    <col min="16" max="16" width="7.5703125" customWidth="1"/>
    <col min="17" max="17" width="7.85546875" customWidth="1"/>
    <col min="18" max="18" width="8.7109375" customWidth="1"/>
    <col min="19" max="19" width="8" customWidth="1"/>
    <col min="20" max="20" width="7" customWidth="1"/>
    <col min="21" max="21" width="7.7109375" customWidth="1"/>
    <col min="22" max="22" width="6.140625" customWidth="1"/>
    <col min="23" max="23" width="7.140625" customWidth="1"/>
    <col min="24" max="24" width="8.28515625" customWidth="1"/>
    <col min="25" max="25" width="9.140625" customWidth="1"/>
  </cols>
  <sheetData>
    <row r="1" spans="1:27" s="15" customFormat="1" ht="15" customHeight="1" x14ac:dyDescent="0.25">
      <c r="A1" s="642" t="s">
        <v>695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5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  <c r="Z1"/>
      <c r="AA1"/>
    </row>
    <row r="2" spans="1:27" s="15" customFormat="1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25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  <c r="Z2"/>
      <c r="AA2"/>
    </row>
    <row r="3" spans="1:27" s="14" customFormat="1" ht="15" customHeight="1" x14ac:dyDescent="0.25">
      <c r="A3" s="660" t="s">
        <v>129</v>
      </c>
      <c r="B3" s="662" t="s">
        <v>130</v>
      </c>
      <c r="C3" s="662" t="s">
        <v>131</v>
      </c>
      <c r="D3" s="625" t="s">
        <v>132</v>
      </c>
      <c r="E3" s="662" t="s">
        <v>133</v>
      </c>
      <c r="F3" s="662"/>
      <c r="G3" s="619"/>
      <c r="H3" s="640"/>
      <c r="I3" s="619"/>
      <c r="J3" s="619"/>
      <c r="K3" s="619"/>
      <c r="L3" s="625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27" ht="15.75" thickBot="1" x14ac:dyDescent="0.3">
      <c r="A4" s="661"/>
      <c r="B4" s="663"/>
      <c r="C4" s="663"/>
      <c r="D4" s="652"/>
      <c r="E4" s="663"/>
      <c r="F4" s="663"/>
      <c r="G4" s="620"/>
      <c r="H4" s="640"/>
      <c r="I4" s="620"/>
      <c r="J4" s="620"/>
      <c r="K4" s="620"/>
      <c r="L4" s="652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27" s="15" customFormat="1" ht="30" x14ac:dyDescent="0.25">
      <c r="A5" s="177" t="s">
        <v>0</v>
      </c>
      <c r="B5" s="177" t="s">
        <v>361</v>
      </c>
      <c r="C5" s="177" t="s">
        <v>544</v>
      </c>
      <c r="D5" s="193" t="s">
        <v>545</v>
      </c>
      <c r="E5" s="194">
        <v>26.6</v>
      </c>
      <c r="F5" s="177" t="s">
        <v>4</v>
      </c>
      <c r="G5" s="202" t="s">
        <v>5</v>
      </c>
      <c r="H5" s="506"/>
      <c r="I5" s="189">
        <v>2</v>
      </c>
      <c r="J5" s="22" t="s">
        <v>194</v>
      </c>
      <c r="K5" s="5" t="s">
        <v>1449</v>
      </c>
      <c r="L5" s="22" t="s">
        <v>10</v>
      </c>
      <c r="M5" s="22" t="s">
        <v>7</v>
      </c>
      <c r="N5" s="10">
        <v>4375</v>
      </c>
      <c r="O5" s="10">
        <v>2125</v>
      </c>
      <c r="P5" s="11">
        <f t="shared" ref="P5:P66" si="0">N5*O5*0.000001</f>
        <v>9.296875</v>
      </c>
      <c r="Q5" s="24"/>
      <c r="R5" s="24"/>
      <c r="S5" s="25">
        <v>25.3</v>
      </c>
      <c r="T5" s="24">
        <v>3</v>
      </c>
      <c r="U5" s="11">
        <f>S5*T5-P5-Q5-X5-Y5</f>
        <v>64.013125000000002</v>
      </c>
      <c r="V5" s="24"/>
      <c r="W5" s="24"/>
      <c r="X5" s="25"/>
      <c r="Y5" s="24">
        <v>2.59</v>
      </c>
      <c r="Z5"/>
      <c r="AA5"/>
    </row>
    <row r="6" spans="1:27" s="15" customFormat="1" ht="30" x14ac:dyDescent="0.25">
      <c r="A6" s="139" t="s">
        <v>0</v>
      </c>
      <c r="B6" s="139" t="s">
        <v>361</v>
      </c>
      <c r="C6" s="139" t="s">
        <v>546</v>
      </c>
      <c r="D6" s="101" t="s">
        <v>547</v>
      </c>
      <c r="E6" s="201">
        <v>25.8</v>
      </c>
      <c r="F6" s="139" t="s">
        <v>4</v>
      </c>
      <c r="G6" s="5" t="s">
        <v>5</v>
      </c>
      <c r="H6" s="506"/>
      <c r="I6" s="6">
        <v>2</v>
      </c>
      <c r="J6" s="6" t="s">
        <v>194</v>
      </c>
      <c r="K6" s="5" t="s">
        <v>1449</v>
      </c>
      <c r="L6" s="6" t="s">
        <v>10</v>
      </c>
      <c r="M6" s="6" t="s">
        <v>7</v>
      </c>
      <c r="N6" s="31">
        <v>1750</v>
      </c>
      <c r="O6" s="10">
        <v>2125</v>
      </c>
      <c r="P6" s="11">
        <f t="shared" si="0"/>
        <v>3.71875</v>
      </c>
      <c r="Q6" s="12"/>
      <c r="R6" s="12"/>
      <c r="S6" s="13">
        <v>16.899999999999999</v>
      </c>
      <c r="T6" s="12">
        <v>3</v>
      </c>
      <c r="U6" s="11">
        <f>S6*T6-P6-Q6-X6-Y6</f>
        <v>44.121249999999996</v>
      </c>
      <c r="V6" s="12"/>
      <c r="W6" s="12"/>
      <c r="X6" s="13">
        <v>2</v>
      </c>
      <c r="Y6" s="12">
        <v>0.86</v>
      </c>
      <c r="Z6"/>
      <c r="AA6"/>
    </row>
    <row r="7" spans="1:27" s="15" customFormat="1" ht="30" x14ac:dyDescent="0.25">
      <c r="A7" s="139" t="s">
        <v>0</v>
      </c>
      <c r="B7" s="139" t="s">
        <v>361</v>
      </c>
      <c r="C7" s="139" t="s">
        <v>548</v>
      </c>
      <c r="D7" s="101" t="s">
        <v>547</v>
      </c>
      <c r="E7" s="190">
        <v>24.7</v>
      </c>
      <c r="F7" s="139" t="s">
        <v>4</v>
      </c>
      <c r="G7" s="5" t="s">
        <v>5</v>
      </c>
      <c r="H7" s="506"/>
      <c r="I7" s="6">
        <v>2</v>
      </c>
      <c r="J7" s="6" t="s">
        <v>194</v>
      </c>
      <c r="K7" s="5" t="s">
        <v>1449</v>
      </c>
      <c r="L7" s="6" t="s">
        <v>10</v>
      </c>
      <c r="M7" s="6" t="s">
        <v>7</v>
      </c>
      <c r="N7" s="31">
        <v>1750</v>
      </c>
      <c r="O7" s="10">
        <v>2125</v>
      </c>
      <c r="P7" s="11">
        <f t="shared" si="0"/>
        <v>3.71875</v>
      </c>
      <c r="Q7" s="12"/>
      <c r="R7" s="12"/>
      <c r="S7" s="13">
        <v>16.899999999999999</v>
      </c>
      <c r="T7" s="12">
        <v>3</v>
      </c>
      <c r="U7" s="16">
        <f>S7*T7-P7-Q7-X7-Y7</f>
        <v>44.121249999999996</v>
      </c>
      <c r="V7" s="12"/>
      <c r="W7" s="12"/>
      <c r="X7" s="13">
        <v>2</v>
      </c>
      <c r="Y7" s="12">
        <v>0.86</v>
      </c>
      <c r="Z7"/>
      <c r="AA7"/>
    </row>
    <row r="8" spans="1:27" s="15" customFormat="1" ht="30" x14ac:dyDescent="0.25">
      <c r="A8" s="139" t="s">
        <v>0</v>
      </c>
      <c r="B8" s="139" t="s">
        <v>361</v>
      </c>
      <c r="C8" s="139" t="s">
        <v>549</v>
      </c>
      <c r="D8" s="101" t="s">
        <v>547</v>
      </c>
      <c r="E8" s="190">
        <v>22.4</v>
      </c>
      <c r="F8" s="139" t="s">
        <v>4</v>
      </c>
      <c r="G8" s="5" t="s">
        <v>5</v>
      </c>
      <c r="H8" s="506"/>
      <c r="I8" s="6">
        <v>2</v>
      </c>
      <c r="J8" s="6" t="s">
        <v>194</v>
      </c>
      <c r="K8" s="5" t="s">
        <v>1449</v>
      </c>
      <c r="L8" s="6" t="s">
        <v>10</v>
      </c>
      <c r="M8" s="6" t="s">
        <v>388</v>
      </c>
      <c r="N8" s="31">
        <v>3250</v>
      </c>
      <c r="O8" s="10">
        <v>2125</v>
      </c>
      <c r="P8" s="11">
        <f t="shared" si="0"/>
        <v>6.90625</v>
      </c>
      <c r="Q8" s="12"/>
      <c r="R8" s="12"/>
      <c r="S8" s="13">
        <v>19.100000000000001</v>
      </c>
      <c r="T8" s="12">
        <v>3</v>
      </c>
      <c r="U8" s="16">
        <f>S8*T8-P8-Q8-X8-Y8</f>
        <v>46.033750000000005</v>
      </c>
      <c r="V8" s="12"/>
      <c r="W8" s="12"/>
      <c r="X8" s="13">
        <v>3.5</v>
      </c>
      <c r="Y8" s="12">
        <v>0.86</v>
      </c>
      <c r="Z8"/>
      <c r="AA8"/>
    </row>
    <row r="9" spans="1:27" s="15" customFormat="1" ht="30" x14ac:dyDescent="0.25">
      <c r="A9" s="139" t="s">
        <v>0</v>
      </c>
      <c r="B9" s="139" t="s">
        <v>361</v>
      </c>
      <c r="C9" s="139" t="s">
        <v>550</v>
      </c>
      <c r="D9" s="101" t="s">
        <v>154</v>
      </c>
      <c r="E9" s="190">
        <v>10.4</v>
      </c>
      <c r="F9" s="139" t="s">
        <v>4</v>
      </c>
      <c r="G9" s="5" t="s">
        <v>5</v>
      </c>
      <c r="H9" s="506"/>
      <c r="I9" s="6">
        <v>2</v>
      </c>
      <c r="J9" s="6" t="s">
        <v>194</v>
      </c>
      <c r="K9" s="5" t="s">
        <v>1449</v>
      </c>
      <c r="L9" s="6" t="s">
        <v>6</v>
      </c>
      <c r="M9" s="6" t="s">
        <v>388</v>
      </c>
      <c r="N9" s="31">
        <v>3875</v>
      </c>
      <c r="O9" s="10">
        <v>2125</v>
      </c>
      <c r="P9" s="11">
        <f t="shared" si="0"/>
        <v>8.234375</v>
      </c>
      <c r="Q9" s="12"/>
      <c r="R9" s="12"/>
      <c r="S9" s="13">
        <v>11.03</v>
      </c>
      <c r="T9" s="12">
        <v>3</v>
      </c>
      <c r="U9" s="25"/>
      <c r="V9" s="12"/>
      <c r="W9" s="12"/>
      <c r="X9" s="47">
        <f>S9*T9-P9-Q9-Y9</f>
        <v>24.855624999999996</v>
      </c>
      <c r="Y9" s="12"/>
      <c r="Z9"/>
      <c r="AA9"/>
    </row>
    <row r="10" spans="1:27" s="15" customFormat="1" ht="30" x14ac:dyDescent="0.25">
      <c r="A10" s="139" t="s">
        <v>0</v>
      </c>
      <c r="B10" s="139" t="s">
        <v>361</v>
      </c>
      <c r="C10" s="139" t="s">
        <v>551</v>
      </c>
      <c r="D10" s="101" t="s">
        <v>219</v>
      </c>
      <c r="E10" s="190">
        <v>1.6</v>
      </c>
      <c r="F10" s="139" t="s">
        <v>4</v>
      </c>
      <c r="G10" s="5" t="s">
        <v>5</v>
      </c>
      <c r="H10" s="506"/>
      <c r="I10" s="6">
        <v>2</v>
      </c>
      <c r="J10" s="6" t="s">
        <v>194</v>
      </c>
      <c r="K10" s="5" t="s">
        <v>1449</v>
      </c>
      <c r="L10" s="6" t="s">
        <v>6</v>
      </c>
      <c r="M10" s="6" t="s">
        <v>7</v>
      </c>
      <c r="N10" s="31">
        <v>1750</v>
      </c>
      <c r="O10" s="10">
        <v>2125</v>
      </c>
      <c r="P10" s="11">
        <f t="shared" si="0"/>
        <v>3.71875</v>
      </c>
      <c r="Q10" s="12"/>
      <c r="R10" s="12"/>
      <c r="S10" s="13">
        <v>5.15</v>
      </c>
      <c r="T10" s="12">
        <v>2.6</v>
      </c>
      <c r="U10" s="25"/>
      <c r="V10" s="12"/>
      <c r="W10" s="12"/>
      <c r="X10" s="47">
        <f>S10*T10-P10-Q10-Y10</f>
        <v>9.6712500000000006</v>
      </c>
      <c r="Y10" s="12"/>
      <c r="Z10"/>
      <c r="AA10"/>
    </row>
    <row r="11" spans="1:27" s="15" customFormat="1" ht="30" x14ac:dyDescent="0.25">
      <c r="A11" s="139" t="s">
        <v>0</v>
      </c>
      <c r="B11" s="139" t="s">
        <v>361</v>
      </c>
      <c r="C11" s="139" t="s">
        <v>552</v>
      </c>
      <c r="D11" s="101" t="s">
        <v>65</v>
      </c>
      <c r="E11" s="190">
        <v>1.2</v>
      </c>
      <c r="F11" s="139" t="s">
        <v>4</v>
      </c>
      <c r="G11" s="5" t="s">
        <v>5</v>
      </c>
      <c r="H11" s="506"/>
      <c r="I11" s="6">
        <v>2</v>
      </c>
      <c r="J11" s="6" t="s">
        <v>194</v>
      </c>
      <c r="K11" s="5" t="s">
        <v>1449</v>
      </c>
      <c r="L11" s="6" t="s">
        <v>6</v>
      </c>
      <c r="M11" s="6" t="s">
        <v>7</v>
      </c>
      <c r="N11" s="31">
        <v>875</v>
      </c>
      <c r="O11" s="10">
        <v>2125</v>
      </c>
      <c r="P11" s="11">
        <f t="shared" si="0"/>
        <v>1.859375</v>
      </c>
      <c r="Q11" s="12"/>
      <c r="R11" s="12"/>
      <c r="S11" s="13">
        <v>4.4000000000000004</v>
      </c>
      <c r="T11" s="12">
        <v>2.6</v>
      </c>
      <c r="U11" s="25"/>
      <c r="V11" s="12"/>
      <c r="W11" s="12"/>
      <c r="X11" s="47">
        <f>S11*T11-P11-Q11-Y11</f>
        <v>9.5806250000000013</v>
      </c>
      <c r="Y11" s="12"/>
      <c r="Z11"/>
      <c r="AA11"/>
    </row>
    <row r="12" spans="1:27" s="15" customFormat="1" ht="30" x14ac:dyDescent="0.25">
      <c r="A12" s="139" t="s">
        <v>0</v>
      </c>
      <c r="B12" s="139" t="s">
        <v>361</v>
      </c>
      <c r="C12" s="139" t="s">
        <v>553</v>
      </c>
      <c r="D12" s="101" t="s">
        <v>554</v>
      </c>
      <c r="E12" s="190">
        <v>10.3</v>
      </c>
      <c r="F12" s="139" t="s">
        <v>4</v>
      </c>
      <c r="G12" s="5" t="s">
        <v>5</v>
      </c>
      <c r="H12" s="506"/>
      <c r="I12" s="6">
        <v>2</v>
      </c>
      <c r="J12" s="6" t="s">
        <v>194</v>
      </c>
      <c r="K12" s="5" t="s">
        <v>1449</v>
      </c>
      <c r="L12" s="6" t="s">
        <v>10</v>
      </c>
      <c r="M12" s="6" t="s">
        <v>7</v>
      </c>
      <c r="N12" s="31">
        <v>875</v>
      </c>
      <c r="O12" s="10">
        <v>2125</v>
      </c>
      <c r="P12" s="11">
        <f t="shared" si="0"/>
        <v>1.859375</v>
      </c>
      <c r="Q12" s="12"/>
      <c r="R12" s="12"/>
      <c r="S12" s="13">
        <v>11.08</v>
      </c>
      <c r="T12" s="12">
        <v>3</v>
      </c>
      <c r="U12" s="16">
        <f>S12*T12-P12-Q12-X12-Y12</f>
        <v>27.800625000000004</v>
      </c>
      <c r="V12" s="12"/>
      <c r="W12" s="12"/>
      <c r="X12" s="13">
        <v>2</v>
      </c>
      <c r="Y12" s="12">
        <v>1.58</v>
      </c>
      <c r="Z12"/>
      <c r="AA12"/>
    </row>
    <row r="13" spans="1:27" s="15" customFormat="1" ht="30" x14ac:dyDescent="0.25">
      <c r="A13" s="139" t="s">
        <v>0</v>
      </c>
      <c r="B13" s="139" t="s">
        <v>361</v>
      </c>
      <c r="C13" s="139" t="s">
        <v>555</v>
      </c>
      <c r="D13" s="101" t="s">
        <v>556</v>
      </c>
      <c r="E13" s="190">
        <v>32.9</v>
      </c>
      <c r="F13" s="139" t="s">
        <v>4</v>
      </c>
      <c r="G13" s="5" t="s">
        <v>5</v>
      </c>
      <c r="H13" s="506"/>
      <c r="I13" s="6">
        <v>2</v>
      </c>
      <c r="J13" s="6" t="s">
        <v>194</v>
      </c>
      <c r="K13" s="5" t="s">
        <v>1449</v>
      </c>
      <c r="L13" s="6" t="s">
        <v>10</v>
      </c>
      <c r="M13" s="6" t="s">
        <v>388</v>
      </c>
      <c r="N13" s="31">
        <v>3700</v>
      </c>
      <c r="O13" s="10">
        <v>2125</v>
      </c>
      <c r="P13" s="11">
        <f t="shared" si="0"/>
        <v>7.8624999999999998</v>
      </c>
      <c r="Q13" s="12"/>
      <c r="R13" s="12"/>
      <c r="S13" s="13">
        <v>23.19</v>
      </c>
      <c r="T13" s="12">
        <v>3</v>
      </c>
      <c r="U13" s="25"/>
      <c r="V13" s="152">
        <f>S13*T13-P13-Q13-X13-Y13</f>
        <v>58.127500000000012</v>
      </c>
      <c r="W13" s="12"/>
      <c r="X13" s="13">
        <v>2</v>
      </c>
      <c r="Y13" s="12">
        <v>1.58</v>
      </c>
      <c r="Z13"/>
      <c r="AA13"/>
    </row>
    <row r="14" spans="1:27" s="15" customFormat="1" ht="30" x14ac:dyDescent="0.25">
      <c r="A14" s="1" t="s">
        <v>0</v>
      </c>
      <c r="B14" s="1" t="s">
        <v>278</v>
      </c>
      <c r="C14" s="1" t="s">
        <v>557</v>
      </c>
      <c r="D14" s="28" t="s">
        <v>12</v>
      </c>
      <c r="E14" s="29">
        <v>39.5</v>
      </c>
      <c r="F14" s="1" t="s">
        <v>4</v>
      </c>
      <c r="G14" s="5" t="s">
        <v>5</v>
      </c>
      <c r="H14" s="506"/>
      <c r="I14" s="6">
        <v>2</v>
      </c>
      <c r="J14" s="6" t="s">
        <v>194</v>
      </c>
      <c r="K14" s="5" t="s">
        <v>1449</v>
      </c>
      <c r="L14" s="6" t="s">
        <v>6</v>
      </c>
      <c r="M14" s="6" t="s">
        <v>388</v>
      </c>
      <c r="N14" s="31">
        <v>8025</v>
      </c>
      <c r="O14" s="10">
        <v>2125</v>
      </c>
      <c r="P14" s="11">
        <f t="shared" si="0"/>
        <v>17.053124999999998</v>
      </c>
      <c r="Q14" s="12"/>
      <c r="R14" s="12"/>
      <c r="S14" s="13">
        <v>23.47</v>
      </c>
      <c r="T14" s="12">
        <v>3</v>
      </c>
      <c r="U14" s="16">
        <f t="shared" ref="U14:U17" si="1">S14*T14-P14-Q14-X14-Y14</f>
        <v>53.356875000000002</v>
      </c>
      <c r="V14" s="12"/>
      <c r="W14" s="12"/>
      <c r="X14" s="13"/>
      <c r="Y14" s="12"/>
      <c r="Z14"/>
      <c r="AA14"/>
    </row>
    <row r="15" spans="1:27" s="15" customFormat="1" ht="30" x14ac:dyDescent="0.25">
      <c r="A15" s="1" t="s">
        <v>0</v>
      </c>
      <c r="B15" s="1" t="s">
        <v>278</v>
      </c>
      <c r="C15" s="1" t="s">
        <v>558</v>
      </c>
      <c r="D15" s="28" t="s">
        <v>9</v>
      </c>
      <c r="E15" s="29">
        <v>2.6</v>
      </c>
      <c r="F15" s="1" t="s">
        <v>4</v>
      </c>
      <c r="G15" s="5" t="s">
        <v>5</v>
      </c>
      <c r="H15" s="506"/>
      <c r="I15" s="6">
        <v>2</v>
      </c>
      <c r="J15" s="6" t="s">
        <v>194</v>
      </c>
      <c r="K15" s="5" t="s">
        <v>1449</v>
      </c>
      <c r="L15" s="6" t="s">
        <v>10</v>
      </c>
      <c r="M15" s="6" t="s">
        <v>7</v>
      </c>
      <c r="N15" s="10">
        <v>1750</v>
      </c>
      <c r="O15" s="10">
        <v>2125</v>
      </c>
      <c r="P15" s="11">
        <f t="shared" si="0"/>
        <v>3.71875</v>
      </c>
      <c r="Q15" s="12"/>
      <c r="R15" s="12"/>
      <c r="S15" s="13">
        <v>7.27</v>
      </c>
      <c r="T15" s="12">
        <v>2.6</v>
      </c>
      <c r="U15" s="11">
        <f t="shared" si="1"/>
        <v>15.183250000000001</v>
      </c>
      <c r="V15" s="12"/>
      <c r="W15" s="12"/>
      <c r="X15" s="13"/>
      <c r="Y15" s="12"/>
      <c r="Z15"/>
      <c r="AA15"/>
    </row>
    <row r="16" spans="1:27" s="15" customFormat="1" ht="30" x14ac:dyDescent="0.25">
      <c r="A16" s="1" t="s">
        <v>0</v>
      </c>
      <c r="B16" s="1" t="s">
        <v>278</v>
      </c>
      <c r="C16" s="1" t="s">
        <v>559</v>
      </c>
      <c r="D16" s="28" t="s">
        <v>9</v>
      </c>
      <c r="E16" s="29">
        <v>2.6</v>
      </c>
      <c r="F16" s="1" t="s">
        <v>4</v>
      </c>
      <c r="G16" s="5" t="s">
        <v>5</v>
      </c>
      <c r="H16" s="506"/>
      <c r="I16" s="6">
        <v>2</v>
      </c>
      <c r="J16" s="6" t="s">
        <v>194</v>
      </c>
      <c r="K16" s="5" t="s">
        <v>1449</v>
      </c>
      <c r="L16" s="6" t="s">
        <v>10</v>
      </c>
      <c r="M16" s="6" t="s">
        <v>7</v>
      </c>
      <c r="N16" s="31">
        <v>1750</v>
      </c>
      <c r="O16" s="10">
        <v>2125</v>
      </c>
      <c r="P16" s="11">
        <f t="shared" si="0"/>
        <v>3.71875</v>
      </c>
      <c r="Q16" s="12"/>
      <c r="R16" s="12"/>
      <c r="S16" s="13">
        <v>7.32</v>
      </c>
      <c r="T16" s="12">
        <v>2.6</v>
      </c>
      <c r="U16" s="11">
        <f t="shared" si="1"/>
        <v>15.31325</v>
      </c>
      <c r="V16" s="12"/>
      <c r="W16" s="12"/>
      <c r="X16" s="13"/>
      <c r="Y16" s="12"/>
      <c r="Z16"/>
      <c r="AA16"/>
    </row>
    <row r="17" spans="1:27" s="15" customFormat="1" ht="30" x14ac:dyDescent="0.25">
      <c r="A17" s="1" t="s">
        <v>0</v>
      </c>
      <c r="B17" s="1" t="s">
        <v>278</v>
      </c>
      <c r="C17" s="1" t="s">
        <v>560</v>
      </c>
      <c r="D17" s="28" t="s">
        <v>9</v>
      </c>
      <c r="E17" s="29">
        <v>2.5</v>
      </c>
      <c r="F17" s="1" t="s">
        <v>4</v>
      </c>
      <c r="G17" s="5" t="s">
        <v>5</v>
      </c>
      <c r="H17" s="506"/>
      <c r="I17" s="6">
        <v>2</v>
      </c>
      <c r="J17" s="6" t="s">
        <v>194</v>
      </c>
      <c r="K17" s="5" t="s">
        <v>1449</v>
      </c>
      <c r="L17" s="6" t="s">
        <v>10</v>
      </c>
      <c r="M17" s="6" t="s">
        <v>7</v>
      </c>
      <c r="N17" s="31">
        <v>1750</v>
      </c>
      <c r="O17" s="10">
        <v>2125</v>
      </c>
      <c r="P17" s="11">
        <f t="shared" si="0"/>
        <v>3.71875</v>
      </c>
      <c r="Q17" s="12"/>
      <c r="R17" s="12"/>
      <c r="S17" s="13">
        <v>7.27</v>
      </c>
      <c r="T17" s="12">
        <v>2.6</v>
      </c>
      <c r="U17" s="16">
        <f t="shared" si="1"/>
        <v>15.183250000000001</v>
      </c>
      <c r="V17" s="12"/>
      <c r="W17" s="12"/>
      <c r="X17" s="13"/>
      <c r="Y17" s="12"/>
      <c r="Z17"/>
      <c r="AA17"/>
    </row>
    <row r="18" spans="1:27" s="15" customFormat="1" ht="30" x14ac:dyDescent="0.25">
      <c r="A18" s="1" t="s">
        <v>0</v>
      </c>
      <c r="B18" s="1" t="s">
        <v>278</v>
      </c>
      <c r="C18" s="1" t="s">
        <v>561</v>
      </c>
      <c r="D18" s="28" t="s">
        <v>509</v>
      </c>
      <c r="E18" s="29">
        <v>2.7</v>
      </c>
      <c r="F18" s="1" t="s">
        <v>4</v>
      </c>
      <c r="G18" s="5" t="s">
        <v>5</v>
      </c>
      <c r="H18" s="506"/>
      <c r="I18" s="6">
        <v>2</v>
      </c>
      <c r="J18" s="6" t="s">
        <v>194</v>
      </c>
      <c r="K18" s="5" t="s">
        <v>1449</v>
      </c>
      <c r="L18" s="6" t="s">
        <v>6</v>
      </c>
      <c r="M18" s="6" t="s">
        <v>7</v>
      </c>
      <c r="N18" s="31">
        <v>2375</v>
      </c>
      <c r="O18" s="10">
        <v>2125</v>
      </c>
      <c r="P18" s="11">
        <f t="shared" si="0"/>
        <v>5.046875</v>
      </c>
      <c r="Q18" s="12"/>
      <c r="R18" s="12"/>
      <c r="S18" s="13">
        <v>6.67</v>
      </c>
      <c r="T18" s="12">
        <v>2.6</v>
      </c>
      <c r="U18" s="13"/>
      <c r="V18" s="12"/>
      <c r="W18" s="12"/>
      <c r="X18" s="47">
        <f t="shared" ref="X18:X23" si="2">S18*T18-P18-Q18-Y18</f>
        <v>12.295124999999999</v>
      </c>
      <c r="Y18" s="12"/>
      <c r="Z18"/>
      <c r="AA18"/>
    </row>
    <row r="19" spans="1:27" s="15" customFormat="1" ht="30" x14ac:dyDescent="0.25">
      <c r="A19" s="1" t="s">
        <v>0</v>
      </c>
      <c r="B19" s="1" t="s">
        <v>278</v>
      </c>
      <c r="C19" s="1" t="s">
        <v>562</v>
      </c>
      <c r="D19" s="28" t="s">
        <v>65</v>
      </c>
      <c r="E19" s="29">
        <v>1.3</v>
      </c>
      <c r="F19" s="1" t="s">
        <v>4</v>
      </c>
      <c r="G19" s="5" t="s">
        <v>5</v>
      </c>
      <c r="H19" s="506"/>
      <c r="I19" s="6">
        <v>2</v>
      </c>
      <c r="J19" s="6" t="s">
        <v>194</v>
      </c>
      <c r="K19" s="5" t="s">
        <v>1449</v>
      </c>
      <c r="L19" s="6" t="s">
        <v>6</v>
      </c>
      <c r="M19" s="6" t="s">
        <v>7</v>
      </c>
      <c r="N19" s="31">
        <v>750</v>
      </c>
      <c r="O19" s="10">
        <v>2125</v>
      </c>
      <c r="P19" s="11">
        <f t="shared" si="0"/>
        <v>1.59375</v>
      </c>
      <c r="Q19" s="12"/>
      <c r="R19" s="12"/>
      <c r="S19" s="13">
        <v>4.3</v>
      </c>
      <c r="T19" s="12">
        <v>2.6</v>
      </c>
      <c r="U19" s="13"/>
      <c r="V19" s="12"/>
      <c r="W19" s="12"/>
      <c r="X19" s="47">
        <f t="shared" si="2"/>
        <v>9.5862499999999997</v>
      </c>
      <c r="Y19" s="12"/>
      <c r="Z19"/>
      <c r="AA19"/>
    </row>
    <row r="20" spans="1:27" s="15" customFormat="1" ht="30" x14ac:dyDescent="0.25">
      <c r="A20" s="1" t="s">
        <v>0</v>
      </c>
      <c r="B20" s="1" t="s">
        <v>278</v>
      </c>
      <c r="C20" s="1" t="s">
        <v>563</v>
      </c>
      <c r="D20" s="28" t="s">
        <v>220</v>
      </c>
      <c r="E20" s="29">
        <v>1.3</v>
      </c>
      <c r="F20" s="1" t="s">
        <v>4</v>
      </c>
      <c r="G20" s="5" t="s">
        <v>5</v>
      </c>
      <c r="H20" s="506"/>
      <c r="I20" s="6">
        <v>2</v>
      </c>
      <c r="J20" s="6" t="s">
        <v>194</v>
      </c>
      <c r="K20" s="5" t="s">
        <v>1449</v>
      </c>
      <c r="L20" s="6" t="s">
        <v>81</v>
      </c>
      <c r="M20" s="6" t="s">
        <v>7</v>
      </c>
      <c r="N20" s="31">
        <v>750</v>
      </c>
      <c r="O20" s="10">
        <v>2125</v>
      </c>
      <c r="P20" s="11">
        <f t="shared" si="0"/>
        <v>1.59375</v>
      </c>
      <c r="Q20" s="12"/>
      <c r="R20" s="12"/>
      <c r="S20" s="13">
        <v>4.62</v>
      </c>
      <c r="T20" s="12">
        <v>2.6</v>
      </c>
      <c r="U20" s="13"/>
      <c r="V20" s="12"/>
      <c r="W20" s="12"/>
      <c r="X20" s="47">
        <f t="shared" si="2"/>
        <v>10.41825</v>
      </c>
      <c r="Y20" s="12"/>
      <c r="Z20"/>
      <c r="AA20"/>
    </row>
    <row r="21" spans="1:27" s="15" customFormat="1" ht="30" x14ac:dyDescent="0.25">
      <c r="A21" s="1" t="s">
        <v>0</v>
      </c>
      <c r="B21" s="1" t="s">
        <v>278</v>
      </c>
      <c r="C21" s="1" t="s">
        <v>564</v>
      </c>
      <c r="D21" s="28" t="s">
        <v>512</v>
      </c>
      <c r="E21" s="29">
        <v>3.3</v>
      </c>
      <c r="F21" s="1" t="s">
        <v>4</v>
      </c>
      <c r="G21" s="5" t="s">
        <v>5</v>
      </c>
      <c r="H21" s="506"/>
      <c r="I21" s="6">
        <v>2</v>
      </c>
      <c r="J21" s="6" t="s">
        <v>194</v>
      </c>
      <c r="K21" s="5" t="s">
        <v>1449</v>
      </c>
      <c r="L21" s="6" t="s">
        <v>6</v>
      </c>
      <c r="M21" s="6" t="s">
        <v>7</v>
      </c>
      <c r="N21" s="31">
        <v>2375</v>
      </c>
      <c r="O21" s="10">
        <v>2125</v>
      </c>
      <c r="P21" s="11">
        <f t="shared" si="0"/>
        <v>5.046875</v>
      </c>
      <c r="Q21" s="12"/>
      <c r="R21" s="12"/>
      <c r="S21" s="13">
        <v>7.68</v>
      </c>
      <c r="T21" s="12">
        <v>2.6</v>
      </c>
      <c r="U21" s="13"/>
      <c r="V21" s="12"/>
      <c r="W21" s="12"/>
      <c r="X21" s="47">
        <f t="shared" si="2"/>
        <v>14.921125</v>
      </c>
      <c r="Y21" s="12"/>
      <c r="Z21"/>
      <c r="AA21"/>
    </row>
    <row r="22" spans="1:27" s="15" customFormat="1" ht="30" x14ac:dyDescent="0.25">
      <c r="A22" s="1" t="s">
        <v>0</v>
      </c>
      <c r="B22" s="1" t="s">
        <v>278</v>
      </c>
      <c r="C22" s="1" t="s">
        <v>565</v>
      </c>
      <c r="D22" s="28" t="s">
        <v>65</v>
      </c>
      <c r="E22" s="29">
        <v>1.3</v>
      </c>
      <c r="F22" s="1" t="s">
        <v>4</v>
      </c>
      <c r="G22" s="5" t="s">
        <v>5</v>
      </c>
      <c r="H22" s="506"/>
      <c r="I22" s="6">
        <v>2</v>
      </c>
      <c r="J22" s="6" t="s">
        <v>194</v>
      </c>
      <c r="K22" s="5" t="s">
        <v>1449</v>
      </c>
      <c r="L22" s="6" t="s">
        <v>6</v>
      </c>
      <c r="M22" s="6" t="s">
        <v>7</v>
      </c>
      <c r="N22" s="31">
        <v>750</v>
      </c>
      <c r="O22" s="10">
        <v>2125</v>
      </c>
      <c r="P22" s="11">
        <f t="shared" si="0"/>
        <v>1.59375</v>
      </c>
      <c r="Q22" s="12"/>
      <c r="R22" s="12"/>
      <c r="S22" s="13">
        <v>4.75</v>
      </c>
      <c r="T22" s="12">
        <v>2.6</v>
      </c>
      <c r="U22" s="13"/>
      <c r="V22" s="12"/>
      <c r="W22" s="12"/>
      <c r="X22" s="47">
        <f t="shared" si="2"/>
        <v>10.75625</v>
      </c>
      <c r="Y22" s="12"/>
      <c r="Z22"/>
      <c r="AA22"/>
    </row>
    <row r="23" spans="1:27" s="15" customFormat="1" ht="30" x14ac:dyDescent="0.25">
      <c r="A23" s="1" t="s">
        <v>0</v>
      </c>
      <c r="B23" s="1" t="s">
        <v>278</v>
      </c>
      <c r="C23" s="1" t="s">
        <v>566</v>
      </c>
      <c r="D23" s="28" t="s">
        <v>220</v>
      </c>
      <c r="E23" s="29">
        <v>1.3</v>
      </c>
      <c r="F23" s="1" t="s">
        <v>4</v>
      </c>
      <c r="G23" s="5" t="s">
        <v>5</v>
      </c>
      <c r="H23" s="506"/>
      <c r="I23" s="6">
        <v>2</v>
      </c>
      <c r="J23" s="6" t="s">
        <v>194</v>
      </c>
      <c r="K23" s="5" t="s">
        <v>1449</v>
      </c>
      <c r="L23" s="6" t="s">
        <v>81</v>
      </c>
      <c r="M23" s="6" t="s">
        <v>7</v>
      </c>
      <c r="N23" s="31">
        <v>750</v>
      </c>
      <c r="O23" s="10">
        <v>2125</v>
      </c>
      <c r="P23" s="11">
        <f t="shared" si="0"/>
        <v>1.59375</v>
      </c>
      <c r="Q23" s="12"/>
      <c r="R23" s="12"/>
      <c r="S23" s="13">
        <v>4.5999999999999996</v>
      </c>
      <c r="T23" s="12">
        <v>2.6</v>
      </c>
      <c r="U23" s="13"/>
      <c r="V23" s="12"/>
      <c r="W23" s="12"/>
      <c r="X23" s="47">
        <f t="shared" si="2"/>
        <v>10.366249999999999</v>
      </c>
      <c r="Y23" s="12"/>
      <c r="Z23"/>
      <c r="AA23"/>
    </row>
    <row r="24" spans="1:27" ht="30" x14ac:dyDescent="0.25">
      <c r="A24" s="139" t="s">
        <v>139</v>
      </c>
      <c r="B24" s="139" t="s">
        <v>361</v>
      </c>
      <c r="C24" s="139" t="s">
        <v>567</v>
      </c>
      <c r="D24" s="101" t="s">
        <v>568</v>
      </c>
      <c r="E24" s="190">
        <v>14.5</v>
      </c>
      <c r="F24" s="139" t="s">
        <v>4</v>
      </c>
      <c r="G24" s="6" t="s">
        <v>5</v>
      </c>
      <c r="H24" s="507"/>
      <c r="I24" s="5" t="s">
        <v>569</v>
      </c>
      <c r="J24" s="6"/>
      <c r="K24" s="5" t="s">
        <v>2033</v>
      </c>
      <c r="L24" s="12" t="s">
        <v>10</v>
      </c>
      <c r="M24" s="24" t="s">
        <v>7</v>
      </c>
      <c r="N24" s="154">
        <v>2250</v>
      </c>
      <c r="O24" s="22">
        <v>2125</v>
      </c>
      <c r="P24" s="49">
        <f t="shared" si="0"/>
        <v>4.78125</v>
      </c>
      <c r="Q24" s="25">
        <v>3.45</v>
      </c>
      <c r="R24" s="24">
        <v>2.25</v>
      </c>
      <c r="S24" s="25">
        <v>18.350000000000001</v>
      </c>
      <c r="T24" s="24">
        <v>3</v>
      </c>
      <c r="U24" s="11">
        <f>S24*T24-P24-Q24-X24-Y24</f>
        <v>46.818750000000001</v>
      </c>
      <c r="V24" s="24"/>
      <c r="W24" s="24"/>
      <c r="X24" s="25"/>
      <c r="Y24" s="25"/>
    </row>
    <row r="25" spans="1:27" ht="30" x14ac:dyDescent="0.25">
      <c r="A25" s="139" t="s">
        <v>139</v>
      </c>
      <c r="B25" s="139" t="s">
        <v>361</v>
      </c>
      <c r="C25" s="139" t="s">
        <v>570</v>
      </c>
      <c r="D25" s="101" t="s">
        <v>571</v>
      </c>
      <c r="E25" s="190">
        <v>4.3</v>
      </c>
      <c r="F25" s="139" t="s">
        <v>4</v>
      </c>
      <c r="G25" s="6" t="s">
        <v>5</v>
      </c>
      <c r="H25" s="507"/>
      <c r="I25" s="5" t="s">
        <v>569</v>
      </c>
      <c r="J25" s="6"/>
      <c r="K25" s="5" t="s">
        <v>2033</v>
      </c>
      <c r="L25" s="12" t="s">
        <v>81</v>
      </c>
      <c r="M25" s="12" t="s">
        <v>7</v>
      </c>
      <c r="N25" s="150">
        <v>1125</v>
      </c>
      <c r="O25" s="22">
        <v>2125</v>
      </c>
      <c r="P25" s="49">
        <f t="shared" si="0"/>
        <v>2.390625</v>
      </c>
      <c r="Q25" s="13"/>
      <c r="R25" s="12"/>
      <c r="S25" s="13">
        <v>8.65</v>
      </c>
      <c r="T25" s="12">
        <v>2.6</v>
      </c>
      <c r="U25" s="25"/>
      <c r="V25" s="12"/>
      <c r="W25" s="12"/>
      <c r="X25" s="47">
        <f>S25*T25-P25-Q25-Y25</f>
        <v>20.099375000000002</v>
      </c>
      <c r="Y25" s="13"/>
    </row>
    <row r="26" spans="1:27" ht="30" x14ac:dyDescent="0.25">
      <c r="A26" s="139" t="s">
        <v>139</v>
      </c>
      <c r="B26" s="139" t="s">
        <v>361</v>
      </c>
      <c r="C26" s="139" t="s">
        <v>572</v>
      </c>
      <c r="D26" s="101" t="s">
        <v>568</v>
      </c>
      <c r="E26" s="190">
        <v>12.5</v>
      </c>
      <c r="F26" s="139" t="s">
        <v>4</v>
      </c>
      <c r="G26" s="6" t="s">
        <v>5</v>
      </c>
      <c r="H26" s="507"/>
      <c r="I26" s="5" t="s">
        <v>569</v>
      </c>
      <c r="J26" s="6"/>
      <c r="K26" s="5" t="s">
        <v>2033</v>
      </c>
      <c r="L26" s="12" t="s">
        <v>10</v>
      </c>
      <c r="M26" s="12" t="s">
        <v>7</v>
      </c>
      <c r="N26" s="150">
        <v>1625</v>
      </c>
      <c r="O26" s="22">
        <v>2125</v>
      </c>
      <c r="P26" s="49">
        <f t="shared" si="0"/>
        <v>3.453125</v>
      </c>
      <c r="Q26" s="13">
        <v>3.45</v>
      </c>
      <c r="R26" s="12">
        <v>1.1299999999999999</v>
      </c>
      <c r="S26" s="13">
        <v>17</v>
      </c>
      <c r="T26" s="12">
        <v>3</v>
      </c>
      <c r="U26" s="11">
        <f>S26*T26-P26-Q26-X26-Y26</f>
        <v>44.096874999999997</v>
      </c>
      <c r="V26" s="12"/>
      <c r="W26" s="12"/>
      <c r="X26" s="13"/>
      <c r="Y26" s="13"/>
    </row>
    <row r="27" spans="1:27" ht="30" x14ac:dyDescent="0.25">
      <c r="A27" s="139" t="s">
        <v>139</v>
      </c>
      <c r="B27" s="139" t="s">
        <v>361</v>
      </c>
      <c r="C27" s="139" t="s">
        <v>573</v>
      </c>
      <c r="D27" s="101" t="s">
        <v>101</v>
      </c>
      <c r="E27" s="190">
        <v>2.5</v>
      </c>
      <c r="F27" s="139" t="s">
        <v>4</v>
      </c>
      <c r="G27" s="6" t="s">
        <v>5</v>
      </c>
      <c r="H27" s="507"/>
      <c r="I27" s="5" t="s">
        <v>569</v>
      </c>
      <c r="J27" s="6"/>
      <c r="K27" s="5" t="s">
        <v>2033</v>
      </c>
      <c r="L27" s="12" t="s">
        <v>81</v>
      </c>
      <c r="M27" s="12" t="s">
        <v>7</v>
      </c>
      <c r="N27" s="150">
        <v>750</v>
      </c>
      <c r="O27" s="22">
        <v>2125</v>
      </c>
      <c r="P27" s="49">
        <f t="shared" si="0"/>
        <v>1.59375</v>
      </c>
      <c r="Q27" s="13"/>
      <c r="R27" s="12"/>
      <c r="S27" s="13">
        <v>6.5</v>
      </c>
      <c r="T27" s="12">
        <v>2.6</v>
      </c>
      <c r="U27" s="25"/>
      <c r="V27" s="12"/>
      <c r="W27" s="12"/>
      <c r="X27" s="47">
        <f>S27*T27-P27-Q27-Y27</f>
        <v>15.306250000000002</v>
      </c>
      <c r="Y27" s="13"/>
    </row>
    <row r="28" spans="1:27" ht="30" x14ac:dyDescent="0.25">
      <c r="A28" s="139" t="s">
        <v>139</v>
      </c>
      <c r="B28" s="139" t="s">
        <v>361</v>
      </c>
      <c r="C28" s="139" t="s">
        <v>574</v>
      </c>
      <c r="D28" s="101" t="s">
        <v>34</v>
      </c>
      <c r="E28" s="190">
        <v>17.100000000000001</v>
      </c>
      <c r="F28" s="139" t="s">
        <v>4</v>
      </c>
      <c r="G28" s="6" t="s">
        <v>5</v>
      </c>
      <c r="H28" s="507"/>
      <c r="I28" s="5" t="s">
        <v>569</v>
      </c>
      <c r="J28" s="6"/>
      <c r="K28" s="5" t="s">
        <v>2033</v>
      </c>
      <c r="L28" s="12" t="s">
        <v>10</v>
      </c>
      <c r="M28" s="12" t="s">
        <v>7</v>
      </c>
      <c r="N28" s="150">
        <v>1125</v>
      </c>
      <c r="O28" s="22">
        <v>2125</v>
      </c>
      <c r="P28" s="49">
        <f t="shared" si="0"/>
        <v>2.390625</v>
      </c>
      <c r="Q28" s="13">
        <v>3.45</v>
      </c>
      <c r="R28" s="12">
        <v>2.25</v>
      </c>
      <c r="S28" s="13">
        <v>21.25</v>
      </c>
      <c r="T28" s="12">
        <v>3</v>
      </c>
      <c r="U28" s="11">
        <f>S28*T28-P28-Q28-X28-Y28</f>
        <v>55.909374999999997</v>
      </c>
      <c r="V28" s="12"/>
      <c r="W28" s="12"/>
      <c r="X28" s="13">
        <v>2</v>
      </c>
      <c r="Y28" s="13"/>
    </row>
    <row r="29" spans="1:27" ht="30" x14ac:dyDescent="0.25">
      <c r="A29" s="139" t="s">
        <v>139</v>
      </c>
      <c r="B29" s="139" t="s">
        <v>361</v>
      </c>
      <c r="C29" s="139" t="s">
        <v>575</v>
      </c>
      <c r="D29" s="101" t="s">
        <v>9</v>
      </c>
      <c r="E29" s="190">
        <v>2.1</v>
      </c>
      <c r="F29" s="139" t="s">
        <v>4</v>
      </c>
      <c r="G29" s="6" t="s">
        <v>5</v>
      </c>
      <c r="H29" s="507"/>
      <c r="I29" s="5" t="s">
        <v>569</v>
      </c>
      <c r="J29" s="6"/>
      <c r="K29" s="5" t="s">
        <v>2033</v>
      </c>
      <c r="L29" s="12" t="s">
        <v>10</v>
      </c>
      <c r="M29" s="12"/>
      <c r="N29" s="150"/>
      <c r="O29" s="22"/>
      <c r="P29" s="49">
        <f t="shared" si="0"/>
        <v>0</v>
      </c>
      <c r="Q29" s="13"/>
      <c r="R29" s="12"/>
      <c r="S29" s="13"/>
      <c r="T29" s="12"/>
      <c r="U29" s="13"/>
      <c r="V29" s="12"/>
      <c r="W29" s="12"/>
      <c r="X29" s="13"/>
      <c r="Y29" s="13"/>
    </row>
    <row r="30" spans="1:27" ht="30" x14ac:dyDescent="0.25">
      <c r="A30" s="139" t="s">
        <v>139</v>
      </c>
      <c r="B30" s="139" t="s">
        <v>361</v>
      </c>
      <c r="C30" s="139" t="s">
        <v>576</v>
      </c>
      <c r="D30" s="101" t="s">
        <v>34</v>
      </c>
      <c r="E30" s="190">
        <v>16.899999999999999</v>
      </c>
      <c r="F30" s="139" t="s">
        <v>4</v>
      </c>
      <c r="G30" s="6" t="s">
        <v>5</v>
      </c>
      <c r="H30" s="507"/>
      <c r="I30" s="5" t="s">
        <v>569</v>
      </c>
      <c r="J30" s="6"/>
      <c r="K30" s="5" t="s">
        <v>2033</v>
      </c>
      <c r="L30" s="12" t="s">
        <v>10</v>
      </c>
      <c r="M30" s="12" t="s">
        <v>7</v>
      </c>
      <c r="N30" s="150">
        <v>1125</v>
      </c>
      <c r="O30" s="22">
        <v>2125</v>
      </c>
      <c r="P30" s="49">
        <f t="shared" si="0"/>
        <v>2.390625</v>
      </c>
      <c r="Q30" s="13">
        <v>3.56</v>
      </c>
      <c r="R30" s="12">
        <v>1.18</v>
      </c>
      <c r="S30" s="13">
        <v>21.25</v>
      </c>
      <c r="T30" s="12">
        <v>3</v>
      </c>
      <c r="U30" s="11">
        <f>S30*T30-P30-Q30-X30-Y30</f>
        <v>55.799374999999998</v>
      </c>
      <c r="V30" s="12"/>
      <c r="W30" s="12"/>
      <c r="X30" s="13">
        <v>2</v>
      </c>
      <c r="Y30" s="13"/>
    </row>
    <row r="31" spans="1:27" ht="30" x14ac:dyDescent="0.25">
      <c r="A31" s="139" t="s">
        <v>139</v>
      </c>
      <c r="B31" s="139" t="s">
        <v>361</v>
      </c>
      <c r="C31" s="139" t="s">
        <v>577</v>
      </c>
      <c r="D31" s="101" t="s">
        <v>9</v>
      </c>
      <c r="E31" s="190">
        <v>2.1</v>
      </c>
      <c r="F31" s="139" t="s">
        <v>4</v>
      </c>
      <c r="G31" s="6" t="s">
        <v>5</v>
      </c>
      <c r="H31" s="507"/>
      <c r="I31" s="5" t="s">
        <v>569</v>
      </c>
      <c r="J31" s="6"/>
      <c r="K31" s="5" t="s">
        <v>2033</v>
      </c>
      <c r="L31" s="12" t="s">
        <v>10</v>
      </c>
      <c r="M31" s="12"/>
      <c r="N31" s="150"/>
      <c r="O31" s="22"/>
      <c r="P31" s="49">
        <f t="shared" si="0"/>
        <v>0</v>
      </c>
      <c r="Q31" s="13"/>
      <c r="R31" s="12"/>
      <c r="S31" s="13"/>
      <c r="T31" s="12"/>
      <c r="U31" s="13"/>
      <c r="V31" s="12"/>
      <c r="W31" s="12"/>
      <c r="X31" s="13"/>
      <c r="Y31" s="13"/>
    </row>
    <row r="32" spans="1:27" ht="30" x14ac:dyDescent="0.25">
      <c r="A32" s="139" t="s">
        <v>139</v>
      </c>
      <c r="B32" s="139" t="s">
        <v>361</v>
      </c>
      <c r="C32" s="139" t="s">
        <v>578</v>
      </c>
      <c r="D32" s="101" t="s">
        <v>579</v>
      </c>
      <c r="E32" s="190">
        <v>35.9</v>
      </c>
      <c r="F32" s="139" t="s">
        <v>4</v>
      </c>
      <c r="G32" s="6" t="s">
        <v>5</v>
      </c>
      <c r="H32" s="507"/>
      <c r="I32" s="5" t="s">
        <v>1450</v>
      </c>
      <c r="J32" s="5" t="s">
        <v>194</v>
      </c>
      <c r="K32" s="5" t="s">
        <v>2033</v>
      </c>
      <c r="L32" s="12" t="s">
        <v>10</v>
      </c>
      <c r="M32" s="12" t="s">
        <v>7</v>
      </c>
      <c r="N32" s="150">
        <v>2375</v>
      </c>
      <c r="O32" s="22">
        <v>2125</v>
      </c>
      <c r="P32" s="49">
        <f t="shared" si="0"/>
        <v>5.046875</v>
      </c>
      <c r="Q32" s="13"/>
      <c r="R32" s="12"/>
      <c r="S32" s="13">
        <v>24.5</v>
      </c>
      <c r="T32" s="12">
        <v>3</v>
      </c>
      <c r="U32" s="11"/>
      <c r="V32" s="152">
        <f>S32*T32-P32-Q32-X32-Y32</f>
        <v>64.953125</v>
      </c>
      <c r="W32" s="12"/>
      <c r="X32" s="13">
        <v>2</v>
      </c>
      <c r="Y32" s="13">
        <v>1.5</v>
      </c>
    </row>
    <row r="33" spans="1:25" ht="30" x14ac:dyDescent="0.25">
      <c r="A33" s="139" t="s">
        <v>139</v>
      </c>
      <c r="B33" s="139" t="s">
        <v>361</v>
      </c>
      <c r="C33" s="139" t="s">
        <v>580</v>
      </c>
      <c r="D33" s="101" t="s">
        <v>581</v>
      </c>
      <c r="E33" s="190">
        <v>12.3</v>
      </c>
      <c r="F33" s="139" t="s">
        <v>4</v>
      </c>
      <c r="G33" s="6" t="s">
        <v>5</v>
      </c>
      <c r="H33" s="507"/>
      <c r="I33" s="5" t="s">
        <v>1450</v>
      </c>
      <c r="J33" s="5" t="s">
        <v>194</v>
      </c>
      <c r="K33" s="5" t="s">
        <v>2033</v>
      </c>
      <c r="L33" s="12" t="s">
        <v>10</v>
      </c>
      <c r="M33" s="12" t="s">
        <v>7</v>
      </c>
      <c r="N33" s="150">
        <v>1125</v>
      </c>
      <c r="O33" s="22">
        <v>2125</v>
      </c>
      <c r="P33" s="49">
        <f t="shared" si="0"/>
        <v>2.390625</v>
      </c>
      <c r="Q33" s="13"/>
      <c r="R33" s="12"/>
      <c r="S33" s="13">
        <v>14.15</v>
      </c>
      <c r="T33" s="12">
        <v>3</v>
      </c>
      <c r="U33" s="11"/>
      <c r="V33" s="152">
        <f>S33*T33-P33-Q33-X33-Y33</f>
        <v>38.059375000000003</v>
      </c>
      <c r="W33" s="12"/>
      <c r="X33" s="13">
        <v>2</v>
      </c>
      <c r="Y33" s="13"/>
    </row>
    <row r="34" spans="1:25" ht="30" x14ac:dyDescent="0.25">
      <c r="A34" s="139" t="s">
        <v>139</v>
      </c>
      <c r="B34" s="139" t="s">
        <v>361</v>
      </c>
      <c r="C34" s="139" t="s">
        <v>582</v>
      </c>
      <c r="D34" s="101" t="s">
        <v>554</v>
      </c>
      <c r="E34" s="190">
        <v>7</v>
      </c>
      <c r="F34" s="139" t="s">
        <v>4</v>
      </c>
      <c r="G34" s="6" t="s">
        <v>5</v>
      </c>
      <c r="H34" s="507"/>
      <c r="I34" s="5" t="s">
        <v>1450</v>
      </c>
      <c r="J34" s="5" t="s">
        <v>194</v>
      </c>
      <c r="K34" s="5" t="s">
        <v>2033</v>
      </c>
      <c r="L34" s="12" t="s">
        <v>583</v>
      </c>
      <c r="M34" s="12" t="s">
        <v>7</v>
      </c>
      <c r="N34" s="150">
        <v>1750</v>
      </c>
      <c r="O34" s="22">
        <v>2125</v>
      </c>
      <c r="P34" s="49">
        <f t="shared" si="0"/>
        <v>3.71875</v>
      </c>
      <c r="Q34" s="13"/>
      <c r="R34" s="12"/>
      <c r="S34" s="13">
        <v>11</v>
      </c>
      <c r="T34" s="12">
        <v>3</v>
      </c>
      <c r="U34" s="11"/>
      <c r="V34" s="152">
        <f>S34*T34-P34-Q34-X34-Y34</f>
        <v>27.78125</v>
      </c>
      <c r="W34" s="12"/>
      <c r="X34" s="13"/>
      <c r="Y34" s="13">
        <v>1.5</v>
      </c>
    </row>
    <row r="35" spans="1:25" ht="30" x14ac:dyDescent="0.25">
      <c r="A35" s="139" t="s">
        <v>139</v>
      </c>
      <c r="B35" s="139" t="s">
        <v>361</v>
      </c>
      <c r="C35" s="139" t="s">
        <v>584</v>
      </c>
      <c r="D35" s="101" t="s">
        <v>3</v>
      </c>
      <c r="E35" s="190">
        <v>2.1</v>
      </c>
      <c r="F35" s="139" t="s">
        <v>4</v>
      </c>
      <c r="G35" s="6" t="s">
        <v>5</v>
      </c>
      <c r="H35" s="507"/>
      <c r="I35" s="5" t="s">
        <v>1450</v>
      </c>
      <c r="J35" s="5" t="s">
        <v>194</v>
      </c>
      <c r="K35" s="5" t="s">
        <v>2033</v>
      </c>
      <c r="L35" s="12" t="s">
        <v>6</v>
      </c>
      <c r="M35" s="12" t="s">
        <v>7</v>
      </c>
      <c r="N35" s="150">
        <v>1375</v>
      </c>
      <c r="O35" s="22">
        <v>2125</v>
      </c>
      <c r="P35" s="49">
        <f t="shared" si="0"/>
        <v>2.921875</v>
      </c>
      <c r="Q35" s="13"/>
      <c r="R35" s="12"/>
      <c r="S35" s="13">
        <v>7</v>
      </c>
      <c r="T35" s="12">
        <v>2.6</v>
      </c>
      <c r="U35" s="25"/>
      <c r="V35" s="12"/>
      <c r="W35" s="12"/>
      <c r="X35" s="47">
        <f>S35*T35-P35-Q35-Y35</f>
        <v>15.278124999999999</v>
      </c>
      <c r="Y35" s="13"/>
    </row>
    <row r="36" spans="1:25" ht="30" x14ac:dyDescent="0.25">
      <c r="A36" s="139" t="s">
        <v>139</v>
      </c>
      <c r="B36" s="139" t="s">
        <v>361</v>
      </c>
      <c r="C36" s="139" t="s">
        <v>585</v>
      </c>
      <c r="D36" s="101" t="s">
        <v>65</v>
      </c>
      <c r="E36" s="190">
        <v>1.3</v>
      </c>
      <c r="F36" s="139" t="s">
        <v>4</v>
      </c>
      <c r="G36" s="6" t="s">
        <v>5</v>
      </c>
      <c r="H36" s="507"/>
      <c r="I36" s="5" t="s">
        <v>1450</v>
      </c>
      <c r="J36" s="5" t="s">
        <v>194</v>
      </c>
      <c r="K36" s="5" t="s">
        <v>2033</v>
      </c>
      <c r="L36" s="12" t="s">
        <v>6</v>
      </c>
      <c r="M36" s="12" t="s">
        <v>7</v>
      </c>
      <c r="N36" s="150">
        <v>750</v>
      </c>
      <c r="O36" s="22">
        <v>2125</v>
      </c>
      <c r="P36" s="49">
        <f t="shared" si="0"/>
        <v>1.59375</v>
      </c>
      <c r="Q36" s="13"/>
      <c r="R36" s="12"/>
      <c r="S36" s="13">
        <v>4</v>
      </c>
      <c r="T36" s="12">
        <v>2.6</v>
      </c>
      <c r="U36" s="25"/>
      <c r="V36" s="12"/>
      <c r="W36" s="12"/>
      <c r="X36" s="47">
        <f>S36*T36-P36-Q36-Y36</f>
        <v>8.8062500000000004</v>
      </c>
      <c r="Y36" s="13"/>
    </row>
    <row r="37" spans="1:25" ht="30" x14ac:dyDescent="0.25">
      <c r="A37" s="139" t="s">
        <v>139</v>
      </c>
      <c r="B37" s="139" t="s">
        <v>361</v>
      </c>
      <c r="C37" s="139" t="s">
        <v>585</v>
      </c>
      <c r="D37" s="101" t="s">
        <v>65</v>
      </c>
      <c r="E37" s="190">
        <v>1.3</v>
      </c>
      <c r="F37" s="139" t="s">
        <v>4</v>
      </c>
      <c r="G37" s="6" t="s">
        <v>5</v>
      </c>
      <c r="H37" s="507"/>
      <c r="I37" s="5" t="s">
        <v>1450</v>
      </c>
      <c r="J37" s="5" t="s">
        <v>194</v>
      </c>
      <c r="K37" s="5" t="s">
        <v>2033</v>
      </c>
      <c r="L37" s="12" t="s">
        <v>6</v>
      </c>
      <c r="M37" s="12" t="s">
        <v>7</v>
      </c>
      <c r="N37" s="150">
        <v>750</v>
      </c>
      <c r="O37" s="22">
        <v>2125</v>
      </c>
      <c r="P37" s="49">
        <f t="shared" si="0"/>
        <v>1.59375</v>
      </c>
      <c r="Q37" s="13"/>
      <c r="R37" s="12"/>
      <c r="S37" s="13">
        <v>4</v>
      </c>
      <c r="T37" s="12">
        <v>2.6</v>
      </c>
      <c r="U37" s="13"/>
      <c r="V37" s="12"/>
      <c r="W37" s="12"/>
      <c r="X37" s="47">
        <f>S37*T37-P37-Q37-Y37</f>
        <v>8.8062500000000004</v>
      </c>
      <c r="Y37" s="13"/>
    </row>
    <row r="38" spans="1:25" ht="30" x14ac:dyDescent="0.25">
      <c r="A38" s="139" t="s">
        <v>139</v>
      </c>
      <c r="B38" s="139" t="s">
        <v>361</v>
      </c>
      <c r="C38" s="139" t="s">
        <v>586</v>
      </c>
      <c r="D38" s="101" t="s">
        <v>587</v>
      </c>
      <c r="E38" s="190">
        <v>16</v>
      </c>
      <c r="F38" s="139" t="s">
        <v>4</v>
      </c>
      <c r="G38" s="6" t="s">
        <v>5</v>
      </c>
      <c r="H38" s="507"/>
      <c r="I38" s="5" t="s">
        <v>1450</v>
      </c>
      <c r="J38" s="5" t="s">
        <v>194</v>
      </c>
      <c r="K38" s="5" t="s">
        <v>2033</v>
      </c>
      <c r="L38" s="12" t="s">
        <v>583</v>
      </c>
      <c r="M38" s="12" t="s">
        <v>7</v>
      </c>
      <c r="N38" s="150">
        <v>2000</v>
      </c>
      <c r="O38" s="22">
        <v>2125</v>
      </c>
      <c r="P38" s="49">
        <f t="shared" si="0"/>
        <v>4.25</v>
      </c>
      <c r="Q38" s="13"/>
      <c r="R38" s="12"/>
      <c r="S38" s="13">
        <v>18.39</v>
      </c>
      <c r="T38" s="12">
        <v>3</v>
      </c>
      <c r="U38" s="25"/>
      <c r="V38" s="152">
        <f>S38*T38-P38-Q38-X38-Y38</f>
        <v>48.92</v>
      </c>
      <c r="W38" s="12"/>
      <c r="X38" s="13">
        <v>2</v>
      </c>
      <c r="Y38" s="13"/>
    </row>
    <row r="39" spans="1:25" ht="30" x14ac:dyDescent="0.25">
      <c r="A39" s="139" t="s">
        <v>139</v>
      </c>
      <c r="B39" s="139" t="s">
        <v>361</v>
      </c>
      <c r="C39" s="139" t="s">
        <v>588</v>
      </c>
      <c r="D39" s="101" t="s">
        <v>3</v>
      </c>
      <c r="E39" s="190">
        <v>3.9</v>
      </c>
      <c r="F39" s="139" t="s">
        <v>4</v>
      </c>
      <c r="G39" s="6" t="s">
        <v>5</v>
      </c>
      <c r="H39" s="507"/>
      <c r="I39" s="5" t="s">
        <v>1450</v>
      </c>
      <c r="J39" s="5" t="s">
        <v>194</v>
      </c>
      <c r="K39" s="5" t="s">
        <v>2033</v>
      </c>
      <c r="L39" s="12" t="s">
        <v>583</v>
      </c>
      <c r="M39" s="12" t="s">
        <v>7</v>
      </c>
      <c r="N39" s="150">
        <v>3375</v>
      </c>
      <c r="O39" s="22">
        <v>2125</v>
      </c>
      <c r="P39" s="49">
        <f t="shared" si="0"/>
        <v>7.171875</v>
      </c>
      <c r="Q39" s="13"/>
      <c r="R39" s="12"/>
      <c r="S39" s="13">
        <v>8.85</v>
      </c>
      <c r="T39" s="12">
        <v>3</v>
      </c>
      <c r="U39" s="13"/>
      <c r="V39" s="152">
        <f>S39*T39-P39-Q39-X39-Y39</f>
        <v>19.378124999999997</v>
      </c>
      <c r="W39" s="12"/>
      <c r="X39" s="13"/>
      <c r="Y39" s="13"/>
    </row>
    <row r="40" spans="1:25" ht="30" x14ac:dyDescent="0.25">
      <c r="A40" s="139" t="s">
        <v>139</v>
      </c>
      <c r="B40" s="139" t="s">
        <v>361</v>
      </c>
      <c r="C40" s="139" t="s">
        <v>589</v>
      </c>
      <c r="D40" s="101" t="s">
        <v>590</v>
      </c>
      <c r="E40" s="190">
        <v>9</v>
      </c>
      <c r="F40" s="139" t="s">
        <v>4</v>
      </c>
      <c r="G40" s="6" t="s">
        <v>5</v>
      </c>
      <c r="H40" s="507"/>
      <c r="I40" s="5" t="s">
        <v>1450</v>
      </c>
      <c r="J40" s="5" t="s">
        <v>194</v>
      </c>
      <c r="K40" s="5" t="s">
        <v>2033</v>
      </c>
      <c r="L40" s="12" t="s">
        <v>583</v>
      </c>
      <c r="M40" s="12" t="s">
        <v>7</v>
      </c>
      <c r="N40" s="150">
        <v>1125</v>
      </c>
      <c r="O40" s="22">
        <v>2125</v>
      </c>
      <c r="P40" s="49">
        <f t="shared" si="0"/>
        <v>2.390625</v>
      </c>
      <c r="Q40" s="13"/>
      <c r="R40" s="12"/>
      <c r="S40" s="13">
        <v>12.04</v>
      </c>
      <c r="T40" s="12">
        <v>3</v>
      </c>
      <c r="U40" s="25"/>
      <c r="V40" s="152">
        <f>S40*T40-P40-Q40-X40-Y40</f>
        <v>31.729374999999997</v>
      </c>
      <c r="W40" s="12"/>
      <c r="X40" s="13">
        <v>2</v>
      </c>
      <c r="Y40" s="13"/>
    </row>
    <row r="41" spans="1:25" ht="30" x14ac:dyDescent="0.25">
      <c r="A41" s="139" t="s">
        <v>139</v>
      </c>
      <c r="B41" s="139" t="s">
        <v>361</v>
      </c>
      <c r="C41" s="139" t="s">
        <v>591</v>
      </c>
      <c r="D41" s="101" t="s">
        <v>592</v>
      </c>
      <c r="E41" s="190">
        <v>20</v>
      </c>
      <c r="F41" s="139" t="s">
        <v>4</v>
      </c>
      <c r="G41" s="6" t="s">
        <v>5</v>
      </c>
      <c r="H41" s="507"/>
      <c r="I41" s="5" t="s">
        <v>1450</v>
      </c>
      <c r="J41" s="5" t="s">
        <v>194</v>
      </c>
      <c r="K41" s="5" t="s">
        <v>2033</v>
      </c>
      <c r="L41" s="12" t="s">
        <v>583</v>
      </c>
      <c r="M41" s="12" t="s">
        <v>7</v>
      </c>
      <c r="N41" s="150">
        <v>2000</v>
      </c>
      <c r="O41" s="22">
        <v>2125</v>
      </c>
      <c r="P41" s="49">
        <f t="shared" si="0"/>
        <v>4.25</v>
      </c>
      <c r="Q41" s="13"/>
      <c r="R41" s="12"/>
      <c r="S41" s="13">
        <v>18.399999999999999</v>
      </c>
      <c r="T41" s="12">
        <v>3</v>
      </c>
      <c r="U41" s="25"/>
      <c r="V41" s="152">
        <f>S41*T41-P41-Q41-X41-Y41</f>
        <v>50.949999999999996</v>
      </c>
      <c r="W41" s="12"/>
      <c r="X41" s="13"/>
      <c r="Y41" s="13"/>
    </row>
    <row r="42" spans="1:25" ht="30" x14ac:dyDescent="0.25">
      <c r="A42" s="139" t="s">
        <v>139</v>
      </c>
      <c r="B42" s="139" t="s">
        <v>361</v>
      </c>
      <c r="C42" s="139" t="s">
        <v>593</v>
      </c>
      <c r="D42" s="101" t="s">
        <v>594</v>
      </c>
      <c r="E42" s="190">
        <v>25.3</v>
      </c>
      <c r="F42" s="139" t="s">
        <v>4</v>
      </c>
      <c r="G42" s="6" t="s">
        <v>5</v>
      </c>
      <c r="H42" s="507"/>
      <c r="I42" s="5" t="s">
        <v>1450</v>
      </c>
      <c r="J42" s="5" t="s">
        <v>194</v>
      </c>
      <c r="K42" s="5" t="s">
        <v>2033</v>
      </c>
      <c r="L42" s="12" t="s">
        <v>583</v>
      </c>
      <c r="M42" s="12" t="s">
        <v>7</v>
      </c>
      <c r="N42" s="150">
        <v>2000</v>
      </c>
      <c r="O42" s="22">
        <v>2125</v>
      </c>
      <c r="P42" s="49">
        <f t="shared" si="0"/>
        <v>4.25</v>
      </c>
      <c r="Q42" s="13"/>
      <c r="R42" s="12"/>
      <c r="S42" s="13">
        <v>20.260000000000002</v>
      </c>
      <c r="T42" s="12">
        <v>3</v>
      </c>
      <c r="U42" s="25"/>
      <c r="V42" s="152">
        <f>S42*T42-P42-Q42-X42-Y42</f>
        <v>56.53</v>
      </c>
      <c r="W42" s="12"/>
      <c r="X42" s="13"/>
      <c r="Y42" s="13"/>
    </row>
    <row r="43" spans="1:25" ht="30" x14ac:dyDescent="0.25">
      <c r="A43" s="139" t="s">
        <v>139</v>
      </c>
      <c r="B43" s="139" t="s">
        <v>361</v>
      </c>
      <c r="C43" s="139" t="s">
        <v>595</v>
      </c>
      <c r="D43" s="101" t="s">
        <v>3</v>
      </c>
      <c r="E43" s="190">
        <v>3</v>
      </c>
      <c r="F43" s="139" t="s">
        <v>4</v>
      </c>
      <c r="G43" s="6" t="s">
        <v>5</v>
      </c>
      <c r="H43" s="507"/>
      <c r="I43" s="5" t="s">
        <v>1450</v>
      </c>
      <c r="J43" s="5" t="s">
        <v>194</v>
      </c>
      <c r="K43" s="5" t="s">
        <v>2033</v>
      </c>
      <c r="L43" s="179" t="s">
        <v>6</v>
      </c>
      <c r="M43" s="179" t="s">
        <v>7</v>
      </c>
      <c r="N43" s="150">
        <v>2625</v>
      </c>
      <c r="O43" s="22">
        <v>2125</v>
      </c>
      <c r="P43" s="49">
        <f t="shared" si="0"/>
        <v>5.578125</v>
      </c>
      <c r="Q43" s="13"/>
      <c r="R43" s="12"/>
      <c r="S43" s="13">
        <v>7.26</v>
      </c>
      <c r="T43" s="12">
        <v>2.6</v>
      </c>
      <c r="U43" s="13"/>
      <c r="V43" s="12"/>
      <c r="W43" s="12"/>
      <c r="X43" s="47">
        <f>S43*T43-P43-Q43-Y43</f>
        <v>13.297875000000001</v>
      </c>
      <c r="Y43" s="13"/>
    </row>
    <row r="44" spans="1:25" ht="30" x14ac:dyDescent="0.25">
      <c r="A44" s="139" t="s">
        <v>139</v>
      </c>
      <c r="B44" s="139" t="s">
        <v>361</v>
      </c>
      <c r="C44" s="139" t="s">
        <v>596</v>
      </c>
      <c r="D44" s="101" t="s">
        <v>597</v>
      </c>
      <c r="E44" s="190">
        <v>2.1</v>
      </c>
      <c r="F44" s="139" t="s">
        <v>4</v>
      </c>
      <c r="G44" s="6" t="s">
        <v>5</v>
      </c>
      <c r="H44" s="507"/>
      <c r="I44" s="5" t="s">
        <v>1450</v>
      </c>
      <c r="J44" s="5" t="s">
        <v>194</v>
      </c>
      <c r="K44" s="5" t="s">
        <v>2033</v>
      </c>
      <c r="L44" s="12" t="s">
        <v>81</v>
      </c>
      <c r="M44" s="12"/>
      <c r="N44" s="150"/>
      <c r="O44" s="22"/>
      <c r="P44" s="49">
        <f t="shared" si="0"/>
        <v>0</v>
      </c>
      <c r="Q44" s="13"/>
      <c r="R44" s="12"/>
      <c r="S44" s="13">
        <v>5.86</v>
      </c>
      <c r="T44" s="12">
        <v>2.6</v>
      </c>
      <c r="U44" s="25"/>
      <c r="V44" s="12"/>
      <c r="W44" s="12"/>
      <c r="X44" s="47">
        <f>S44*T44-P44-Q44-Y44</f>
        <v>15.236000000000001</v>
      </c>
      <c r="Y44" s="13"/>
    </row>
    <row r="45" spans="1:25" ht="30" x14ac:dyDescent="0.25">
      <c r="A45" s="139" t="s">
        <v>139</v>
      </c>
      <c r="B45" s="139" t="s">
        <v>361</v>
      </c>
      <c r="C45" s="139" t="s">
        <v>596</v>
      </c>
      <c r="D45" s="101" t="s">
        <v>65</v>
      </c>
      <c r="E45" s="190">
        <v>1.3</v>
      </c>
      <c r="F45" s="139" t="s">
        <v>4</v>
      </c>
      <c r="G45" s="6" t="s">
        <v>5</v>
      </c>
      <c r="H45" s="507"/>
      <c r="I45" s="5" t="s">
        <v>1450</v>
      </c>
      <c r="J45" s="5" t="s">
        <v>194</v>
      </c>
      <c r="K45" s="5" t="s">
        <v>2033</v>
      </c>
      <c r="L45" s="179" t="s">
        <v>6</v>
      </c>
      <c r="M45" s="179" t="s">
        <v>7</v>
      </c>
      <c r="N45" s="150">
        <v>875</v>
      </c>
      <c r="O45" s="22">
        <v>2125</v>
      </c>
      <c r="P45" s="49">
        <f t="shared" si="0"/>
        <v>1.859375</v>
      </c>
      <c r="Q45" s="13"/>
      <c r="R45" s="12"/>
      <c r="S45" s="13">
        <v>4.2</v>
      </c>
      <c r="T45" s="12">
        <v>2.6</v>
      </c>
      <c r="U45" s="13"/>
      <c r="V45" s="12"/>
      <c r="W45" s="12"/>
      <c r="X45" s="47">
        <f>S45*T45-P45-Q45-Y45</f>
        <v>9.0606250000000017</v>
      </c>
      <c r="Y45" s="13"/>
    </row>
    <row r="46" spans="1:25" ht="30" x14ac:dyDescent="0.25">
      <c r="A46" s="139" t="s">
        <v>139</v>
      </c>
      <c r="B46" s="139" t="s">
        <v>361</v>
      </c>
      <c r="C46" s="139" t="s">
        <v>598</v>
      </c>
      <c r="D46" s="101" t="s">
        <v>55</v>
      </c>
      <c r="E46" s="190">
        <v>42.5</v>
      </c>
      <c r="F46" s="139" t="s">
        <v>4</v>
      </c>
      <c r="G46" s="6" t="s">
        <v>5</v>
      </c>
      <c r="H46" s="507"/>
      <c r="I46" s="5" t="s">
        <v>1450</v>
      </c>
      <c r="J46" s="5" t="s">
        <v>194</v>
      </c>
      <c r="K46" s="5" t="s">
        <v>2033</v>
      </c>
      <c r="L46" s="12" t="s">
        <v>583</v>
      </c>
      <c r="M46" s="12" t="s">
        <v>7</v>
      </c>
      <c r="N46" s="150">
        <v>12875</v>
      </c>
      <c r="O46" s="22">
        <v>2125</v>
      </c>
      <c r="P46" s="49">
        <f t="shared" si="0"/>
        <v>27.359375</v>
      </c>
      <c r="Q46" s="13"/>
      <c r="R46" s="12"/>
      <c r="S46" s="13">
        <v>42.95</v>
      </c>
      <c r="T46" s="12">
        <v>2.7</v>
      </c>
      <c r="U46" s="25"/>
      <c r="V46" s="152">
        <f>S46*T46-P46-Q46-X46-Y46</f>
        <v>88.605625000000018</v>
      </c>
      <c r="W46" s="12"/>
      <c r="X46" s="13"/>
      <c r="Y46" s="13"/>
    </row>
    <row r="47" spans="1:25" ht="30" x14ac:dyDescent="0.25">
      <c r="A47" s="139" t="s">
        <v>139</v>
      </c>
      <c r="B47" s="139" t="s">
        <v>361</v>
      </c>
      <c r="C47" s="139" t="s">
        <v>599</v>
      </c>
      <c r="D47" s="101" t="s">
        <v>600</v>
      </c>
      <c r="E47" s="190">
        <v>23.2</v>
      </c>
      <c r="F47" s="139" t="s">
        <v>4</v>
      </c>
      <c r="G47" s="6" t="s">
        <v>5</v>
      </c>
      <c r="H47" s="507"/>
      <c r="I47" s="5" t="s">
        <v>1450</v>
      </c>
      <c r="J47" s="5" t="s">
        <v>194</v>
      </c>
      <c r="K47" s="5" t="s">
        <v>2033</v>
      </c>
      <c r="L47" s="12" t="s">
        <v>583</v>
      </c>
      <c r="M47" s="12" t="s">
        <v>7</v>
      </c>
      <c r="N47" s="150">
        <v>7625</v>
      </c>
      <c r="O47" s="22">
        <v>2125</v>
      </c>
      <c r="P47" s="49">
        <f t="shared" si="0"/>
        <v>16.203125</v>
      </c>
      <c r="Q47" s="13"/>
      <c r="R47" s="12"/>
      <c r="S47" s="13">
        <v>24.15</v>
      </c>
      <c r="T47" s="12">
        <v>3</v>
      </c>
      <c r="U47" s="16">
        <f>S47*T47-P47-Q47-X47-Y47</f>
        <v>56.246874999999989</v>
      </c>
      <c r="V47" s="12"/>
      <c r="W47" s="12"/>
      <c r="X47" s="13"/>
      <c r="Y47" s="13"/>
    </row>
    <row r="48" spans="1:25" ht="30" x14ac:dyDescent="0.25">
      <c r="A48" s="139" t="s">
        <v>139</v>
      </c>
      <c r="B48" s="139" t="s">
        <v>361</v>
      </c>
      <c r="C48" s="139" t="s">
        <v>601</v>
      </c>
      <c r="D48" s="101" t="s">
        <v>3</v>
      </c>
      <c r="E48" s="190">
        <v>2.4</v>
      </c>
      <c r="F48" s="139" t="s">
        <v>4</v>
      </c>
      <c r="G48" s="6" t="s">
        <v>5</v>
      </c>
      <c r="H48" s="507"/>
      <c r="I48" s="5" t="s">
        <v>1450</v>
      </c>
      <c r="J48" s="5" t="s">
        <v>194</v>
      </c>
      <c r="K48" s="5" t="s">
        <v>2033</v>
      </c>
      <c r="L48" s="12" t="s">
        <v>6</v>
      </c>
      <c r="M48" s="12" t="s">
        <v>7</v>
      </c>
      <c r="N48" s="150">
        <v>2375</v>
      </c>
      <c r="O48" s="22">
        <v>2125</v>
      </c>
      <c r="P48" s="49">
        <f t="shared" si="0"/>
        <v>5.046875</v>
      </c>
      <c r="Q48" s="13"/>
      <c r="R48" s="12"/>
      <c r="S48" s="13">
        <v>6.48</v>
      </c>
      <c r="T48" s="12">
        <v>2.6</v>
      </c>
      <c r="U48" s="25"/>
      <c r="V48" s="12"/>
      <c r="W48" s="12"/>
      <c r="X48" s="47">
        <f t="shared" ref="X48:X56" si="3">S48*T48-P48-Q48-Y48</f>
        <v>11.801125000000003</v>
      </c>
      <c r="Y48" s="13"/>
    </row>
    <row r="49" spans="1:25" ht="30" x14ac:dyDescent="0.25">
      <c r="A49" s="139" t="s">
        <v>139</v>
      </c>
      <c r="B49" s="139" t="s">
        <v>361</v>
      </c>
      <c r="C49" s="139" t="s">
        <v>602</v>
      </c>
      <c r="D49" s="101" t="s">
        <v>65</v>
      </c>
      <c r="E49" s="190">
        <v>1.1000000000000001</v>
      </c>
      <c r="F49" s="139" t="s">
        <v>4</v>
      </c>
      <c r="G49" s="6" t="s">
        <v>5</v>
      </c>
      <c r="H49" s="507"/>
      <c r="I49" s="5" t="s">
        <v>1450</v>
      </c>
      <c r="J49" s="5" t="s">
        <v>194</v>
      </c>
      <c r="K49" s="5" t="s">
        <v>2033</v>
      </c>
      <c r="L49" s="12" t="s">
        <v>6</v>
      </c>
      <c r="M49" s="12" t="s">
        <v>7</v>
      </c>
      <c r="N49" s="150">
        <v>750</v>
      </c>
      <c r="O49" s="22">
        <v>2125</v>
      </c>
      <c r="P49" s="49">
        <f t="shared" si="0"/>
        <v>1.59375</v>
      </c>
      <c r="Q49" s="13"/>
      <c r="R49" s="12"/>
      <c r="S49" s="13">
        <v>4</v>
      </c>
      <c r="T49" s="12">
        <v>2.6</v>
      </c>
      <c r="U49" s="13"/>
      <c r="V49" s="12"/>
      <c r="W49" s="12"/>
      <c r="X49" s="47">
        <f t="shared" si="3"/>
        <v>8.8062500000000004</v>
      </c>
      <c r="Y49" s="13"/>
    </row>
    <row r="50" spans="1:25" ht="30" x14ac:dyDescent="0.25">
      <c r="A50" s="139" t="s">
        <v>139</v>
      </c>
      <c r="B50" s="139" t="s">
        <v>361</v>
      </c>
      <c r="C50" s="139" t="s">
        <v>603</v>
      </c>
      <c r="D50" s="101" t="s">
        <v>65</v>
      </c>
      <c r="E50" s="190">
        <v>1.3</v>
      </c>
      <c r="F50" s="139" t="s">
        <v>4</v>
      </c>
      <c r="G50" s="6" t="s">
        <v>5</v>
      </c>
      <c r="H50" s="507"/>
      <c r="I50" s="5" t="s">
        <v>1450</v>
      </c>
      <c r="J50" s="5" t="s">
        <v>194</v>
      </c>
      <c r="K50" s="5" t="s">
        <v>2033</v>
      </c>
      <c r="L50" s="12" t="s">
        <v>6</v>
      </c>
      <c r="M50" s="12" t="s">
        <v>7</v>
      </c>
      <c r="N50" s="150">
        <v>750</v>
      </c>
      <c r="O50" s="22">
        <v>2125</v>
      </c>
      <c r="P50" s="49">
        <f t="shared" si="0"/>
        <v>1.59375</v>
      </c>
      <c r="Q50" s="13"/>
      <c r="R50" s="12"/>
      <c r="S50" s="13">
        <v>4</v>
      </c>
      <c r="T50" s="12">
        <v>2.6</v>
      </c>
      <c r="U50" s="25"/>
      <c r="V50" s="12"/>
      <c r="W50" s="12"/>
      <c r="X50" s="47">
        <f t="shared" si="3"/>
        <v>8.8062500000000004</v>
      </c>
      <c r="Y50" s="13"/>
    </row>
    <row r="51" spans="1:25" ht="30" x14ac:dyDescent="0.25">
      <c r="A51" s="139" t="s">
        <v>139</v>
      </c>
      <c r="B51" s="139" t="s">
        <v>361</v>
      </c>
      <c r="C51" s="139" t="s">
        <v>604</v>
      </c>
      <c r="D51" s="101" t="s">
        <v>52</v>
      </c>
      <c r="E51" s="190">
        <v>1.8</v>
      </c>
      <c r="F51" s="139" t="s">
        <v>4</v>
      </c>
      <c r="G51" s="6" t="s">
        <v>5</v>
      </c>
      <c r="H51" s="507"/>
      <c r="I51" s="5" t="s">
        <v>1450</v>
      </c>
      <c r="J51" s="5" t="s">
        <v>194</v>
      </c>
      <c r="K51" s="5" t="s">
        <v>2033</v>
      </c>
      <c r="L51" s="12" t="s">
        <v>6</v>
      </c>
      <c r="M51" s="12" t="s">
        <v>7</v>
      </c>
      <c r="N51" s="150">
        <v>1750</v>
      </c>
      <c r="O51" s="22">
        <v>2125</v>
      </c>
      <c r="P51" s="49">
        <f t="shared" si="0"/>
        <v>3.71875</v>
      </c>
      <c r="Q51" s="13"/>
      <c r="R51" s="12"/>
      <c r="S51" s="13">
        <v>5.47</v>
      </c>
      <c r="T51" s="12">
        <v>2.6</v>
      </c>
      <c r="U51" s="25"/>
      <c r="V51" s="12"/>
      <c r="W51" s="12"/>
      <c r="X51" s="47">
        <f t="shared" si="3"/>
        <v>10.50325</v>
      </c>
      <c r="Y51" s="13"/>
    </row>
    <row r="52" spans="1:25" ht="30" x14ac:dyDescent="0.25">
      <c r="A52" s="139" t="s">
        <v>139</v>
      </c>
      <c r="B52" s="139" t="s">
        <v>361</v>
      </c>
      <c r="C52" s="139" t="s">
        <v>605</v>
      </c>
      <c r="D52" s="101" t="s">
        <v>65</v>
      </c>
      <c r="E52" s="190">
        <v>1.1000000000000001</v>
      </c>
      <c r="F52" s="139" t="s">
        <v>4</v>
      </c>
      <c r="G52" s="6" t="s">
        <v>5</v>
      </c>
      <c r="H52" s="507"/>
      <c r="I52" s="5" t="s">
        <v>1450</v>
      </c>
      <c r="J52" s="5" t="s">
        <v>194</v>
      </c>
      <c r="K52" s="5" t="s">
        <v>2033</v>
      </c>
      <c r="L52" s="12" t="s">
        <v>6</v>
      </c>
      <c r="M52" s="12" t="s">
        <v>7</v>
      </c>
      <c r="N52" s="150">
        <v>875</v>
      </c>
      <c r="O52" s="22">
        <v>2125</v>
      </c>
      <c r="P52" s="49">
        <f t="shared" si="0"/>
        <v>1.859375</v>
      </c>
      <c r="Q52" s="13"/>
      <c r="R52" s="12"/>
      <c r="S52" s="13">
        <v>3.9</v>
      </c>
      <c r="T52" s="12">
        <v>2.6</v>
      </c>
      <c r="U52" s="25"/>
      <c r="V52" s="12"/>
      <c r="W52" s="12"/>
      <c r="X52" s="47">
        <f t="shared" si="3"/>
        <v>8.2806250000000006</v>
      </c>
      <c r="Y52" s="13"/>
    </row>
    <row r="53" spans="1:25" ht="30" x14ac:dyDescent="0.25">
      <c r="A53" s="139" t="s">
        <v>139</v>
      </c>
      <c r="B53" s="139" t="s">
        <v>361</v>
      </c>
      <c r="C53" s="139" t="s">
        <v>606</v>
      </c>
      <c r="D53" s="101" t="s">
        <v>46</v>
      </c>
      <c r="E53" s="190">
        <v>1.8</v>
      </c>
      <c r="F53" s="139" t="s">
        <v>4</v>
      </c>
      <c r="G53" s="6" t="s">
        <v>5</v>
      </c>
      <c r="H53" s="507"/>
      <c r="I53" s="5" t="s">
        <v>1450</v>
      </c>
      <c r="J53" s="5" t="s">
        <v>194</v>
      </c>
      <c r="K53" s="5" t="s">
        <v>2033</v>
      </c>
      <c r="L53" s="12" t="s">
        <v>6</v>
      </c>
      <c r="M53" s="12" t="s">
        <v>7</v>
      </c>
      <c r="N53" s="150">
        <v>1750</v>
      </c>
      <c r="O53" s="22">
        <v>2125</v>
      </c>
      <c r="P53" s="49">
        <f t="shared" si="0"/>
        <v>3.71875</v>
      </c>
      <c r="Q53" s="13"/>
      <c r="R53" s="12"/>
      <c r="S53" s="13">
        <v>5.46</v>
      </c>
      <c r="T53" s="12">
        <v>2.6</v>
      </c>
      <c r="U53" s="13"/>
      <c r="V53" s="12"/>
      <c r="W53" s="12"/>
      <c r="X53" s="47">
        <f t="shared" si="3"/>
        <v>10.47725</v>
      </c>
      <c r="Y53" s="13"/>
    </row>
    <row r="54" spans="1:25" ht="30" x14ac:dyDescent="0.25">
      <c r="A54" s="139" t="s">
        <v>139</v>
      </c>
      <c r="B54" s="139" t="s">
        <v>361</v>
      </c>
      <c r="C54" s="139" t="s">
        <v>607</v>
      </c>
      <c r="D54" s="101" t="s">
        <v>65</v>
      </c>
      <c r="E54" s="190">
        <v>1</v>
      </c>
      <c r="F54" s="139" t="s">
        <v>4</v>
      </c>
      <c r="G54" s="6" t="s">
        <v>5</v>
      </c>
      <c r="H54" s="507"/>
      <c r="I54" s="5" t="s">
        <v>1450</v>
      </c>
      <c r="J54" s="5" t="s">
        <v>194</v>
      </c>
      <c r="K54" s="5" t="s">
        <v>2033</v>
      </c>
      <c r="L54" s="12" t="s">
        <v>6</v>
      </c>
      <c r="M54" s="12" t="s">
        <v>7</v>
      </c>
      <c r="N54" s="150">
        <v>875</v>
      </c>
      <c r="O54" s="22">
        <v>2125</v>
      </c>
      <c r="P54" s="49">
        <f t="shared" si="0"/>
        <v>1.859375</v>
      </c>
      <c r="Q54" s="13"/>
      <c r="R54" s="12"/>
      <c r="S54" s="13">
        <v>3.9</v>
      </c>
      <c r="T54" s="12">
        <v>2.6</v>
      </c>
      <c r="U54" s="13"/>
      <c r="V54" s="12"/>
      <c r="W54" s="12"/>
      <c r="X54" s="47">
        <f t="shared" si="3"/>
        <v>8.2806250000000006</v>
      </c>
      <c r="Y54" s="13"/>
    </row>
    <row r="55" spans="1:25" ht="30" x14ac:dyDescent="0.25">
      <c r="A55" s="139" t="s">
        <v>139</v>
      </c>
      <c r="B55" s="139" t="s">
        <v>361</v>
      </c>
      <c r="C55" s="139" t="s">
        <v>608</v>
      </c>
      <c r="D55" s="101" t="s">
        <v>224</v>
      </c>
      <c r="E55" s="190">
        <v>2.2000000000000002</v>
      </c>
      <c r="F55" s="139" t="s">
        <v>4</v>
      </c>
      <c r="G55" s="6" t="s">
        <v>5</v>
      </c>
      <c r="H55" s="507"/>
      <c r="I55" s="5" t="s">
        <v>1450</v>
      </c>
      <c r="J55" s="5" t="s">
        <v>194</v>
      </c>
      <c r="K55" s="5" t="s">
        <v>2033</v>
      </c>
      <c r="L55" s="12" t="s">
        <v>6</v>
      </c>
      <c r="M55" s="12" t="s">
        <v>7</v>
      </c>
      <c r="N55" s="150">
        <v>875</v>
      </c>
      <c r="O55" s="22">
        <v>2125</v>
      </c>
      <c r="P55" s="49">
        <f t="shared" si="0"/>
        <v>1.859375</v>
      </c>
      <c r="Q55" s="13"/>
      <c r="R55" s="12"/>
      <c r="S55" s="13">
        <v>6.51</v>
      </c>
      <c r="T55" s="12">
        <v>2.6</v>
      </c>
      <c r="U55" s="13"/>
      <c r="V55" s="12"/>
      <c r="W55" s="12"/>
      <c r="X55" s="47">
        <f t="shared" si="3"/>
        <v>15.066624999999998</v>
      </c>
      <c r="Y55" s="13"/>
    </row>
    <row r="56" spans="1:25" ht="30" x14ac:dyDescent="0.25">
      <c r="A56" s="139" t="s">
        <v>139</v>
      </c>
      <c r="B56" s="139" t="s">
        <v>361</v>
      </c>
      <c r="C56" s="139" t="s">
        <v>609</v>
      </c>
      <c r="D56" s="101" t="s">
        <v>224</v>
      </c>
      <c r="E56" s="190">
        <v>2.4</v>
      </c>
      <c r="F56" s="139" t="s">
        <v>4</v>
      </c>
      <c r="G56" s="6" t="s">
        <v>5</v>
      </c>
      <c r="H56" s="507"/>
      <c r="I56" s="5" t="s">
        <v>1450</v>
      </c>
      <c r="J56" s="5" t="s">
        <v>194</v>
      </c>
      <c r="K56" s="5" t="s">
        <v>2033</v>
      </c>
      <c r="L56" s="12" t="s">
        <v>6</v>
      </c>
      <c r="M56" s="12" t="s">
        <v>7</v>
      </c>
      <c r="N56" s="150">
        <v>875</v>
      </c>
      <c r="O56" s="22">
        <v>2125</v>
      </c>
      <c r="P56" s="49">
        <f t="shared" si="0"/>
        <v>1.859375</v>
      </c>
      <c r="Q56" s="13"/>
      <c r="R56" s="12"/>
      <c r="S56" s="13">
        <v>6.45</v>
      </c>
      <c r="T56" s="12">
        <v>2.6</v>
      </c>
      <c r="U56" s="13"/>
      <c r="V56" s="12"/>
      <c r="W56" s="12"/>
      <c r="X56" s="47">
        <f t="shared" si="3"/>
        <v>14.910625</v>
      </c>
      <c r="Y56" s="13"/>
    </row>
    <row r="57" spans="1:25" ht="30" x14ac:dyDescent="0.25">
      <c r="A57" s="139" t="s">
        <v>139</v>
      </c>
      <c r="B57" s="139" t="s">
        <v>361</v>
      </c>
      <c r="C57" s="139" t="s">
        <v>610</v>
      </c>
      <c r="D57" s="101" t="s">
        <v>611</v>
      </c>
      <c r="E57" s="190">
        <v>93.9</v>
      </c>
      <c r="F57" s="139" t="s">
        <v>4</v>
      </c>
      <c r="G57" s="6" t="s">
        <v>5</v>
      </c>
      <c r="H57" s="507"/>
      <c r="I57" s="5" t="s">
        <v>1450</v>
      </c>
      <c r="J57" s="5" t="s">
        <v>194</v>
      </c>
      <c r="K57" s="5" t="s">
        <v>2033</v>
      </c>
      <c r="L57" s="12" t="s">
        <v>6</v>
      </c>
      <c r="M57" s="179" t="s">
        <v>7</v>
      </c>
      <c r="N57" s="150">
        <v>29100</v>
      </c>
      <c r="O57" s="22">
        <v>2125</v>
      </c>
      <c r="P57" s="49">
        <f t="shared" si="0"/>
        <v>61.837499999999999</v>
      </c>
      <c r="Q57" s="13"/>
      <c r="R57" s="12"/>
      <c r="S57" s="13">
        <v>138.81</v>
      </c>
      <c r="T57" s="12">
        <v>2.7</v>
      </c>
      <c r="U57" s="16">
        <f>S57*T57-P57-Q57-X57-Y57</f>
        <v>312.94950000000006</v>
      </c>
      <c r="V57" s="12"/>
      <c r="W57" s="12"/>
      <c r="X57" s="13"/>
      <c r="Y57" s="13"/>
    </row>
    <row r="58" spans="1:25" ht="30" x14ac:dyDescent="0.25">
      <c r="A58" s="139" t="s">
        <v>139</v>
      </c>
      <c r="B58" s="139" t="s">
        <v>361</v>
      </c>
      <c r="C58" s="139" t="s">
        <v>612</v>
      </c>
      <c r="D58" s="101" t="s">
        <v>611</v>
      </c>
      <c r="E58" s="190">
        <v>75.599999999999994</v>
      </c>
      <c r="F58" s="139" t="s">
        <v>4</v>
      </c>
      <c r="G58" s="6" t="s">
        <v>5</v>
      </c>
      <c r="H58" s="507"/>
      <c r="I58" s="5" t="s">
        <v>1450</v>
      </c>
      <c r="J58" s="5" t="s">
        <v>194</v>
      </c>
      <c r="K58" s="5" t="s">
        <v>2033</v>
      </c>
      <c r="L58" s="12" t="s">
        <v>6</v>
      </c>
      <c r="M58" s="12"/>
      <c r="N58" s="150"/>
      <c r="O58" s="22"/>
      <c r="P58" s="49">
        <f t="shared" si="0"/>
        <v>0</v>
      </c>
      <c r="Q58" s="13"/>
      <c r="R58" s="12"/>
      <c r="S58" s="13">
        <v>0</v>
      </c>
      <c r="T58" s="12">
        <v>2.7</v>
      </c>
      <c r="U58" s="13"/>
      <c r="V58" s="12"/>
      <c r="W58" s="12"/>
      <c r="X58" s="13"/>
      <c r="Y58" s="13"/>
    </row>
    <row r="59" spans="1:25" ht="30" x14ac:dyDescent="0.25">
      <c r="A59" s="139" t="s">
        <v>139</v>
      </c>
      <c r="B59" s="139" t="s">
        <v>361</v>
      </c>
      <c r="C59" s="139" t="s">
        <v>613</v>
      </c>
      <c r="D59" s="101" t="s">
        <v>614</v>
      </c>
      <c r="E59" s="190">
        <v>28.4</v>
      </c>
      <c r="F59" s="139" t="s">
        <v>4</v>
      </c>
      <c r="G59" s="6" t="s">
        <v>5</v>
      </c>
      <c r="H59" s="507"/>
      <c r="I59" s="5" t="s">
        <v>1450</v>
      </c>
      <c r="J59" s="5" t="s">
        <v>194</v>
      </c>
      <c r="K59" s="5" t="s">
        <v>2033</v>
      </c>
      <c r="L59" s="12" t="s">
        <v>6</v>
      </c>
      <c r="M59" s="12" t="s">
        <v>7</v>
      </c>
      <c r="N59" s="150"/>
      <c r="O59" s="22"/>
      <c r="P59" s="49">
        <f t="shared" si="0"/>
        <v>0</v>
      </c>
      <c r="Q59" s="13">
        <v>7.13</v>
      </c>
      <c r="R59" s="12">
        <v>1.18</v>
      </c>
      <c r="S59" s="13">
        <v>0</v>
      </c>
      <c r="T59" s="12">
        <v>3</v>
      </c>
      <c r="U59" s="13"/>
      <c r="V59" s="12"/>
      <c r="W59" s="12"/>
      <c r="X59" s="13"/>
      <c r="Y59" s="13"/>
    </row>
    <row r="60" spans="1:25" ht="30" x14ac:dyDescent="0.25">
      <c r="A60" s="139" t="s">
        <v>139</v>
      </c>
      <c r="B60" s="139" t="s">
        <v>361</v>
      </c>
      <c r="C60" s="139" t="s">
        <v>615</v>
      </c>
      <c r="D60" s="101" t="s">
        <v>616</v>
      </c>
      <c r="E60" s="190">
        <v>23.9</v>
      </c>
      <c r="F60" s="139" t="s">
        <v>4</v>
      </c>
      <c r="G60" s="6" t="s">
        <v>5</v>
      </c>
      <c r="H60" s="507"/>
      <c r="I60" s="5" t="s">
        <v>569</v>
      </c>
      <c r="J60" s="6"/>
      <c r="K60" s="5" t="s">
        <v>2033</v>
      </c>
      <c r="L60" s="12" t="s">
        <v>10</v>
      </c>
      <c r="M60" s="12" t="s">
        <v>7</v>
      </c>
      <c r="N60" s="150">
        <v>2375</v>
      </c>
      <c r="O60" s="22">
        <v>2125</v>
      </c>
      <c r="P60" s="49">
        <f t="shared" si="0"/>
        <v>5.046875</v>
      </c>
      <c r="Q60" s="13">
        <v>7.13</v>
      </c>
      <c r="R60" s="12">
        <v>1.18</v>
      </c>
      <c r="S60" s="13">
        <v>20.6</v>
      </c>
      <c r="T60" s="12">
        <v>3</v>
      </c>
      <c r="U60" s="16">
        <f>S60*T60-P60-Q60-X60-Y60</f>
        <v>46.123125000000002</v>
      </c>
      <c r="V60" s="12"/>
      <c r="W60" s="12"/>
      <c r="X60" s="13">
        <v>2</v>
      </c>
      <c r="Y60" s="13">
        <v>1.5</v>
      </c>
    </row>
    <row r="61" spans="1:25" ht="30" x14ac:dyDescent="0.25">
      <c r="A61" s="139" t="s">
        <v>139</v>
      </c>
      <c r="B61" s="139" t="s">
        <v>361</v>
      </c>
      <c r="C61" s="139" t="s">
        <v>617</v>
      </c>
      <c r="D61" s="101" t="s">
        <v>154</v>
      </c>
      <c r="E61" s="190">
        <v>9.4</v>
      </c>
      <c r="F61" s="139" t="s">
        <v>4</v>
      </c>
      <c r="G61" s="6" t="s">
        <v>5</v>
      </c>
      <c r="H61" s="507"/>
      <c r="I61" s="5" t="s">
        <v>569</v>
      </c>
      <c r="J61" s="6"/>
      <c r="K61" s="5" t="s">
        <v>2033</v>
      </c>
      <c r="L61" s="12" t="s">
        <v>10</v>
      </c>
      <c r="M61" s="12" t="s">
        <v>7</v>
      </c>
      <c r="N61" s="150">
        <v>1750</v>
      </c>
      <c r="O61" s="22">
        <v>2125</v>
      </c>
      <c r="P61" s="49">
        <f t="shared" si="0"/>
        <v>3.71875</v>
      </c>
      <c r="Q61" s="13">
        <v>2.67</v>
      </c>
      <c r="R61" s="12">
        <v>0.87</v>
      </c>
      <c r="S61" s="13">
        <v>13.3</v>
      </c>
      <c r="T61" s="12">
        <v>3</v>
      </c>
      <c r="U61" s="16">
        <f>S61*T61-P61-Q61-X61-Y61</f>
        <v>30.011250000000004</v>
      </c>
      <c r="V61" s="12"/>
      <c r="W61" s="12"/>
      <c r="X61" s="13">
        <v>2</v>
      </c>
      <c r="Y61" s="13">
        <v>1.5</v>
      </c>
    </row>
    <row r="62" spans="1:25" ht="30" x14ac:dyDescent="0.25">
      <c r="A62" s="139" t="s">
        <v>139</v>
      </c>
      <c r="B62" s="139" t="s">
        <v>361</v>
      </c>
      <c r="C62" s="139" t="s">
        <v>618</v>
      </c>
      <c r="D62" s="101" t="s">
        <v>547</v>
      </c>
      <c r="E62" s="190">
        <v>26.9</v>
      </c>
      <c r="F62" s="139" t="s">
        <v>4</v>
      </c>
      <c r="G62" s="6" t="s">
        <v>5</v>
      </c>
      <c r="H62" s="507"/>
      <c r="I62" s="5" t="s">
        <v>569</v>
      </c>
      <c r="J62" s="6"/>
      <c r="K62" s="5" t="s">
        <v>2033</v>
      </c>
      <c r="L62" s="12" t="s">
        <v>10</v>
      </c>
      <c r="M62" s="12" t="s">
        <v>7</v>
      </c>
      <c r="N62" s="150">
        <v>3250</v>
      </c>
      <c r="O62" s="22">
        <v>2125</v>
      </c>
      <c r="P62" s="49">
        <f t="shared" si="0"/>
        <v>6.90625</v>
      </c>
      <c r="Q62" s="13"/>
      <c r="R62" s="12"/>
      <c r="S62" s="13">
        <v>21.7</v>
      </c>
      <c r="T62" s="12">
        <v>2.9</v>
      </c>
      <c r="U62" s="16">
        <f>S62*T62-P62-Q62-X62-Y62</f>
        <v>53.163749999999993</v>
      </c>
      <c r="V62" s="12"/>
      <c r="W62" s="12"/>
      <c r="X62" s="13">
        <v>2</v>
      </c>
      <c r="Y62" s="13">
        <v>0.86</v>
      </c>
    </row>
    <row r="63" spans="1:25" ht="30" x14ac:dyDescent="0.25">
      <c r="A63" s="139" t="s">
        <v>139</v>
      </c>
      <c r="B63" s="139" t="s">
        <v>361</v>
      </c>
      <c r="C63" s="139" t="s">
        <v>619</v>
      </c>
      <c r="D63" s="101" t="s">
        <v>9</v>
      </c>
      <c r="E63" s="190">
        <v>2</v>
      </c>
      <c r="F63" s="139" t="s">
        <v>4</v>
      </c>
      <c r="G63" s="6" t="s">
        <v>5</v>
      </c>
      <c r="H63" s="507"/>
      <c r="I63" s="5" t="s">
        <v>569</v>
      </c>
      <c r="J63" s="6"/>
      <c r="K63" s="5" t="s">
        <v>2033</v>
      </c>
      <c r="L63" s="12" t="s">
        <v>10</v>
      </c>
      <c r="M63" s="179" t="s">
        <v>7</v>
      </c>
      <c r="N63" s="150">
        <v>1750</v>
      </c>
      <c r="O63" s="22">
        <v>2125</v>
      </c>
      <c r="P63" s="49">
        <f t="shared" si="0"/>
        <v>3.71875</v>
      </c>
      <c r="Q63" s="13"/>
      <c r="R63" s="12"/>
      <c r="S63" s="13">
        <v>5.6</v>
      </c>
      <c r="T63" s="12">
        <v>2.6</v>
      </c>
      <c r="U63" s="16">
        <f>S63*T63-P63-Q63-X63-Y63</f>
        <v>10.841249999999999</v>
      </c>
      <c r="V63" s="12"/>
      <c r="W63" s="12"/>
      <c r="X63" s="13"/>
      <c r="Y63" s="13"/>
    </row>
    <row r="64" spans="1:25" ht="30" x14ac:dyDescent="0.25">
      <c r="A64" s="139" t="s">
        <v>139</v>
      </c>
      <c r="B64" s="139" t="s">
        <v>361</v>
      </c>
      <c r="C64" s="139" t="s">
        <v>620</v>
      </c>
      <c r="D64" s="101" t="s">
        <v>154</v>
      </c>
      <c r="E64" s="190">
        <v>12.8</v>
      </c>
      <c r="F64" s="139" t="s">
        <v>4</v>
      </c>
      <c r="G64" s="6" t="s">
        <v>5</v>
      </c>
      <c r="H64" s="507"/>
      <c r="I64" s="5" t="s">
        <v>569</v>
      </c>
      <c r="J64" s="6"/>
      <c r="K64" s="5" t="s">
        <v>2033</v>
      </c>
      <c r="L64" s="12" t="s">
        <v>10</v>
      </c>
      <c r="M64" s="179" t="s">
        <v>388</v>
      </c>
      <c r="N64" s="150">
        <v>3875</v>
      </c>
      <c r="O64" s="22">
        <v>2125</v>
      </c>
      <c r="P64" s="49">
        <f t="shared" si="0"/>
        <v>8.234375</v>
      </c>
      <c r="Q64" s="13"/>
      <c r="R64" s="12"/>
      <c r="S64" s="13">
        <v>14.05</v>
      </c>
      <c r="T64" s="12">
        <v>3</v>
      </c>
      <c r="U64" s="13"/>
      <c r="V64" s="152">
        <f>S64*T64-P64-Q64-X64-Y64</f>
        <v>31.915625000000006</v>
      </c>
      <c r="W64" s="12"/>
      <c r="X64" s="13">
        <v>2</v>
      </c>
      <c r="Y64" s="13"/>
    </row>
    <row r="65" spans="1:25" ht="30" x14ac:dyDescent="0.25">
      <c r="A65" s="139" t="s">
        <v>139</v>
      </c>
      <c r="B65" s="139" t="s">
        <v>361</v>
      </c>
      <c r="C65" s="139" t="s">
        <v>621</v>
      </c>
      <c r="D65" s="101" t="s">
        <v>622</v>
      </c>
      <c r="E65" s="190">
        <v>28.8</v>
      </c>
      <c r="F65" s="139" t="s">
        <v>4</v>
      </c>
      <c r="G65" s="6" t="s">
        <v>5</v>
      </c>
      <c r="H65" s="507"/>
      <c r="I65" s="5" t="s">
        <v>569</v>
      </c>
      <c r="J65" s="6"/>
      <c r="K65" s="5" t="s">
        <v>2033</v>
      </c>
      <c r="L65" s="12" t="s">
        <v>10</v>
      </c>
      <c r="M65" s="12" t="s">
        <v>388</v>
      </c>
      <c r="N65" s="150">
        <v>3375</v>
      </c>
      <c r="O65" s="22">
        <v>2125</v>
      </c>
      <c r="P65" s="49">
        <f t="shared" si="0"/>
        <v>7.171875</v>
      </c>
      <c r="Q65" s="13"/>
      <c r="R65" s="12"/>
      <c r="S65" s="13">
        <v>21.63</v>
      </c>
      <c r="T65" s="12">
        <v>3</v>
      </c>
      <c r="U65" s="25"/>
      <c r="V65" s="152">
        <f>S65*T65-P65-Q65-X65-Y65</f>
        <v>56.218125000000001</v>
      </c>
      <c r="W65" s="12"/>
      <c r="X65" s="13"/>
      <c r="Y65" s="13">
        <v>1.5</v>
      </c>
    </row>
    <row r="66" spans="1:25" ht="30" x14ac:dyDescent="0.25">
      <c r="A66" s="139" t="s">
        <v>139</v>
      </c>
      <c r="B66" s="139" t="s">
        <v>361</v>
      </c>
      <c r="C66" s="139" t="s">
        <v>623</v>
      </c>
      <c r="D66" s="101" t="s">
        <v>624</v>
      </c>
      <c r="E66" s="190">
        <v>4.4000000000000004</v>
      </c>
      <c r="F66" s="139" t="s">
        <v>4</v>
      </c>
      <c r="G66" s="6" t="s">
        <v>5</v>
      </c>
      <c r="H66" s="507"/>
      <c r="I66" s="5" t="s">
        <v>569</v>
      </c>
      <c r="J66" s="6"/>
      <c r="K66" s="5" t="s">
        <v>2033</v>
      </c>
      <c r="L66" s="12" t="s">
        <v>10</v>
      </c>
      <c r="M66" s="179" t="s">
        <v>388</v>
      </c>
      <c r="N66" s="150">
        <v>875</v>
      </c>
      <c r="O66" s="22">
        <v>2125</v>
      </c>
      <c r="P66" s="49">
        <f t="shared" si="0"/>
        <v>1.859375</v>
      </c>
      <c r="Q66" s="13"/>
      <c r="R66" s="12"/>
      <c r="S66" s="13">
        <v>8.5</v>
      </c>
      <c r="T66" s="12">
        <v>3</v>
      </c>
      <c r="U66" s="13"/>
      <c r="V66" s="152">
        <f>S66*T66-P66-Q66-X66-Y66</f>
        <v>23.640625</v>
      </c>
      <c r="W66" s="12"/>
      <c r="X66" s="13"/>
      <c r="Y66" s="13"/>
    </row>
    <row r="67" spans="1:25" ht="30" x14ac:dyDescent="0.25">
      <c r="A67" s="139" t="s">
        <v>139</v>
      </c>
      <c r="B67" s="139" t="s">
        <v>361</v>
      </c>
      <c r="C67" s="139" t="s">
        <v>625</v>
      </c>
      <c r="D67" s="101" t="s">
        <v>554</v>
      </c>
      <c r="E67" s="190">
        <v>12.8</v>
      </c>
      <c r="F67" s="139" t="s">
        <v>4</v>
      </c>
      <c r="G67" s="6" t="s">
        <v>5</v>
      </c>
      <c r="H67" s="507"/>
      <c r="I67" s="5" t="s">
        <v>569</v>
      </c>
      <c r="J67" s="6"/>
      <c r="K67" s="5" t="s">
        <v>2033</v>
      </c>
      <c r="L67" s="179" t="s">
        <v>10</v>
      </c>
      <c r="M67" s="12" t="s">
        <v>7</v>
      </c>
      <c r="N67" s="150">
        <v>2625</v>
      </c>
      <c r="O67" s="22">
        <v>2125</v>
      </c>
      <c r="P67" s="49">
        <f t="shared" ref="P67:P78" si="4">N67*O67*0.000001</f>
        <v>5.578125</v>
      </c>
      <c r="Q67" s="13"/>
      <c r="R67" s="12"/>
      <c r="S67" s="13">
        <v>14.05</v>
      </c>
      <c r="T67" s="12">
        <v>3</v>
      </c>
      <c r="U67" s="11">
        <f>S67*T67-P67-Q67-X67-Y67</f>
        <v>35.071875000000006</v>
      </c>
      <c r="V67" s="12"/>
      <c r="W67" s="12"/>
      <c r="X67" s="13"/>
      <c r="Y67" s="13">
        <v>1.5</v>
      </c>
    </row>
    <row r="68" spans="1:25" ht="30" x14ac:dyDescent="0.25">
      <c r="A68" s="139" t="s">
        <v>139</v>
      </c>
      <c r="B68" s="139" t="s">
        <v>361</v>
      </c>
      <c r="C68" s="139" t="s">
        <v>626</v>
      </c>
      <c r="D68" s="101" t="s">
        <v>255</v>
      </c>
      <c r="E68" s="190">
        <v>10.3</v>
      </c>
      <c r="F68" s="139" t="s">
        <v>4</v>
      </c>
      <c r="G68" s="6" t="s">
        <v>5</v>
      </c>
      <c r="H68" s="507"/>
      <c r="I68" s="5" t="s">
        <v>569</v>
      </c>
      <c r="J68" s="6"/>
      <c r="K68" s="5" t="s">
        <v>2033</v>
      </c>
      <c r="L68" s="12" t="s">
        <v>6</v>
      </c>
      <c r="M68" s="179" t="s">
        <v>388</v>
      </c>
      <c r="N68" s="150">
        <v>1875</v>
      </c>
      <c r="O68" s="22">
        <v>2125</v>
      </c>
      <c r="P68" s="49">
        <f t="shared" si="4"/>
        <v>3.984375</v>
      </c>
      <c r="Q68" s="13"/>
      <c r="R68" s="12"/>
      <c r="S68" s="13">
        <v>13.4</v>
      </c>
      <c r="T68" s="12">
        <v>3</v>
      </c>
      <c r="U68" s="13"/>
      <c r="V68" s="12"/>
      <c r="W68" s="12"/>
      <c r="X68" s="47">
        <f>S68*T68-P68-Q68-Y68</f>
        <v>36.215625000000003</v>
      </c>
      <c r="Y68" s="13"/>
    </row>
    <row r="69" spans="1:25" ht="30" x14ac:dyDescent="0.25">
      <c r="A69" s="139" t="s">
        <v>139</v>
      </c>
      <c r="B69" s="139" t="s">
        <v>361</v>
      </c>
      <c r="C69" s="139" t="s">
        <v>627</v>
      </c>
      <c r="D69" s="101" t="s">
        <v>628</v>
      </c>
      <c r="E69" s="190">
        <v>45</v>
      </c>
      <c r="F69" s="139" t="s">
        <v>4</v>
      </c>
      <c r="G69" s="6" t="s">
        <v>5</v>
      </c>
      <c r="H69" s="507"/>
      <c r="I69" s="5" t="s">
        <v>569</v>
      </c>
      <c r="J69" s="6"/>
      <c r="K69" s="5" t="s">
        <v>2033</v>
      </c>
      <c r="L69" s="12" t="s">
        <v>10</v>
      </c>
      <c r="M69" s="12" t="s">
        <v>7</v>
      </c>
      <c r="N69" s="150">
        <v>8200</v>
      </c>
      <c r="O69" s="22">
        <v>2125</v>
      </c>
      <c r="P69" s="49">
        <f t="shared" si="4"/>
        <v>17.425000000000001</v>
      </c>
      <c r="Q69" s="13"/>
      <c r="R69" s="12"/>
      <c r="S69" s="13">
        <v>44.2</v>
      </c>
      <c r="T69" s="12">
        <v>2.7</v>
      </c>
      <c r="U69" s="16">
        <f t="shared" ref="U69:U74" si="5">S69*T69-P69-Q69-X69-Y69</f>
        <v>98.475000000000023</v>
      </c>
      <c r="V69" s="12"/>
      <c r="W69" s="12"/>
      <c r="X69" s="13"/>
      <c r="Y69" s="13">
        <v>3.44</v>
      </c>
    </row>
    <row r="70" spans="1:25" ht="30" x14ac:dyDescent="0.25">
      <c r="A70" s="139" t="s">
        <v>139</v>
      </c>
      <c r="B70" s="139" t="s">
        <v>361</v>
      </c>
      <c r="C70" s="139" t="s">
        <v>629</v>
      </c>
      <c r="D70" s="101" t="s">
        <v>547</v>
      </c>
      <c r="E70" s="190">
        <v>26.8</v>
      </c>
      <c r="F70" s="139" t="s">
        <v>4</v>
      </c>
      <c r="G70" s="6" t="s">
        <v>5</v>
      </c>
      <c r="H70" s="507"/>
      <c r="I70" s="5" t="s">
        <v>569</v>
      </c>
      <c r="J70" s="6"/>
      <c r="K70" s="5" t="s">
        <v>2033</v>
      </c>
      <c r="L70" s="12" t="s">
        <v>10</v>
      </c>
      <c r="M70" s="12" t="s">
        <v>7</v>
      </c>
      <c r="N70" s="150">
        <v>2875</v>
      </c>
      <c r="O70" s="22">
        <v>2125</v>
      </c>
      <c r="P70" s="49">
        <f t="shared" si="4"/>
        <v>6.109375</v>
      </c>
      <c r="Q70" s="13"/>
      <c r="R70" s="12"/>
      <c r="S70" s="13">
        <v>22.45</v>
      </c>
      <c r="T70" s="12">
        <v>3</v>
      </c>
      <c r="U70" s="16">
        <f t="shared" si="5"/>
        <v>59.240624999999994</v>
      </c>
      <c r="V70" s="12"/>
      <c r="W70" s="12"/>
      <c r="X70" s="13">
        <v>2</v>
      </c>
      <c r="Y70" s="13"/>
    </row>
    <row r="71" spans="1:25" ht="30" x14ac:dyDescent="0.25">
      <c r="A71" s="139" t="s">
        <v>139</v>
      </c>
      <c r="B71" s="139" t="s">
        <v>361</v>
      </c>
      <c r="C71" s="139" t="s">
        <v>630</v>
      </c>
      <c r="D71" s="101" t="s">
        <v>9</v>
      </c>
      <c r="E71" s="190">
        <v>2</v>
      </c>
      <c r="F71" s="139" t="s">
        <v>4</v>
      </c>
      <c r="G71" s="6" t="s">
        <v>5</v>
      </c>
      <c r="H71" s="507"/>
      <c r="I71" s="5" t="s">
        <v>569</v>
      </c>
      <c r="J71" s="6"/>
      <c r="K71" s="5" t="s">
        <v>2033</v>
      </c>
      <c r="L71" s="12" t="s">
        <v>10</v>
      </c>
      <c r="M71" s="12" t="s">
        <v>7</v>
      </c>
      <c r="N71" s="150">
        <v>1750</v>
      </c>
      <c r="O71" s="22">
        <v>2125</v>
      </c>
      <c r="P71" s="49">
        <f t="shared" si="4"/>
        <v>3.71875</v>
      </c>
      <c r="Q71" s="13"/>
      <c r="R71" s="12"/>
      <c r="S71" s="13">
        <v>5.4</v>
      </c>
      <c r="T71" s="12">
        <v>2.6</v>
      </c>
      <c r="U71" s="11">
        <f t="shared" si="5"/>
        <v>10.321250000000001</v>
      </c>
      <c r="V71" s="12"/>
      <c r="W71" s="12"/>
      <c r="X71" s="13"/>
      <c r="Y71" s="13"/>
    </row>
    <row r="72" spans="1:25" ht="30" x14ac:dyDescent="0.25">
      <c r="A72" s="139" t="s">
        <v>139</v>
      </c>
      <c r="B72" s="139" t="s">
        <v>361</v>
      </c>
      <c r="C72" s="139" t="s">
        <v>631</v>
      </c>
      <c r="D72" s="101" t="s">
        <v>547</v>
      </c>
      <c r="E72" s="190">
        <v>26.9</v>
      </c>
      <c r="F72" s="139" t="s">
        <v>4</v>
      </c>
      <c r="G72" s="6" t="s">
        <v>5</v>
      </c>
      <c r="H72" s="507"/>
      <c r="I72" s="5" t="s">
        <v>569</v>
      </c>
      <c r="J72" s="6"/>
      <c r="K72" s="5" t="s">
        <v>2033</v>
      </c>
      <c r="L72" s="12" t="s">
        <v>10</v>
      </c>
      <c r="M72" s="12" t="s">
        <v>7</v>
      </c>
      <c r="N72" s="150">
        <v>2875</v>
      </c>
      <c r="O72" s="22">
        <v>2125</v>
      </c>
      <c r="P72" s="49">
        <f t="shared" si="4"/>
        <v>6.109375</v>
      </c>
      <c r="Q72" s="13"/>
      <c r="R72" s="12"/>
      <c r="S72" s="13">
        <v>21.7</v>
      </c>
      <c r="T72" s="12">
        <v>3</v>
      </c>
      <c r="U72" s="11">
        <f t="shared" si="5"/>
        <v>56.990624999999994</v>
      </c>
      <c r="V72" s="12"/>
      <c r="W72" s="12"/>
      <c r="X72" s="13">
        <v>2</v>
      </c>
      <c r="Y72" s="13"/>
    </row>
    <row r="73" spans="1:25" ht="30" x14ac:dyDescent="0.25">
      <c r="A73" s="139" t="s">
        <v>139</v>
      </c>
      <c r="B73" s="139" t="s">
        <v>361</v>
      </c>
      <c r="C73" s="139" t="s">
        <v>632</v>
      </c>
      <c r="D73" s="101" t="s">
        <v>9</v>
      </c>
      <c r="E73" s="190">
        <v>2</v>
      </c>
      <c r="F73" s="139" t="s">
        <v>4</v>
      </c>
      <c r="G73" s="6" t="s">
        <v>5</v>
      </c>
      <c r="H73" s="507"/>
      <c r="I73" s="5" t="s">
        <v>569</v>
      </c>
      <c r="J73" s="6"/>
      <c r="K73" s="5" t="s">
        <v>2033</v>
      </c>
      <c r="L73" s="12" t="s">
        <v>10</v>
      </c>
      <c r="M73" s="12" t="s">
        <v>7</v>
      </c>
      <c r="N73" s="150">
        <v>1750</v>
      </c>
      <c r="O73" s="22">
        <v>2125</v>
      </c>
      <c r="P73" s="49">
        <f t="shared" si="4"/>
        <v>3.71875</v>
      </c>
      <c r="Q73" s="13"/>
      <c r="R73" s="12"/>
      <c r="S73" s="13">
        <v>5.4</v>
      </c>
      <c r="T73" s="12">
        <v>2.6</v>
      </c>
      <c r="U73" s="16">
        <f t="shared" si="5"/>
        <v>10.321250000000001</v>
      </c>
      <c r="V73" s="12"/>
      <c r="W73" s="12"/>
      <c r="X73" s="13"/>
      <c r="Y73" s="13"/>
    </row>
    <row r="74" spans="1:25" ht="30" x14ac:dyDescent="0.25">
      <c r="A74" s="139" t="s">
        <v>139</v>
      </c>
      <c r="B74" s="139" t="s">
        <v>361</v>
      </c>
      <c r="C74" s="139" t="s">
        <v>633</v>
      </c>
      <c r="D74" s="101" t="s">
        <v>547</v>
      </c>
      <c r="E74" s="190">
        <v>29.4</v>
      </c>
      <c r="F74" s="139" t="s">
        <v>4</v>
      </c>
      <c r="G74" s="6" t="s">
        <v>5</v>
      </c>
      <c r="H74" s="507"/>
      <c r="I74" s="5" t="s">
        <v>569</v>
      </c>
      <c r="J74" s="6"/>
      <c r="K74" s="5" t="s">
        <v>2033</v>
      </c>
      <c r="L74" s="12" t="s">
        <v>10</v>
      </c>
      <c r="M74" s="12" t="s">
        <v>7</v>
      </c>
      <c r="N74" s="150">
        <v>3750</v>
      </c>
      <c r="O74" s="22">
        <v>2125</v>
      </c>
      <c r="P74" s="49">
        <f t="shared" si="4"/>
        <v>7.96875</v>
      </c>
      <c r="Q74" s="13"/>
      <c r="R74" s="12"/>
      <c r="S74" s="13">
        <v>24.94</v>
      </c>
      <c r="T74" s="12">
        <v>3</v>
      </c>
      <c r="U74" s="16">
        <f t="shared" si="5"/>
        <v>64.851250000000007</v>
      </c>
      <c r="V74" s="12"/>
      <c r="W74" s="12"/>
      <c r="X74" s="13">
        <v>2</v>
      </c>
      <c r="Y74" s="13"/>
    </row>
    <row r="75" spans="1:25" ht="30" x14ac:dyDescent="0.25">
      <c r="A75" s="139" t="s">
        <v>139</v>
      </c>
      <c r="B75" s="139" t="s">
        <v>361</v>
      </c>
      <c r="C75" s="139" t="s">
        <v>634</v>
      </c>
      <c r="D75" s="101" t="s">
        <v>9</v>
      </c>
      <c r="E75" s="190">
        <v>2</v>
      </c>
      <c r="F75" s="139" t="s">
        <v>4</v>
      </c>
      <c r="G75" s="6" t="s">
        <v>5</v>
      </c>
      <c r="H75" s="507"/>
      <c r="I75" s="5" t="s">
        <v>569</v>
      </c>
      <c r="J75" s="6"/>
      <c r="K75" s="5" t="s">
        <v>2033</v>
      </c>
      <c r="L75" s="12" t="s">
        <v>6</v>
      </c>
      <c r="M75" s="12" t="s">
        <v>7</v>
      </c>
      <c r="N75" s="150">
        <v>1750</v>
      </c>
      <c r="O75" s="22">
        <v>2125</v>
      </c>
      <c r="P75" s="49">
        <f t="shared" si="4"/>
        <v>3.71875</v>
      </c>
      <c r="Q75" s="13"/>
      <c r="R75" s="12"/>
      <c r="S75" s="13">
        <v>5.6</v>
      </c>
      <c r="T75" s="12">
        <v>2.6</v>
      </c>
      <c r="U75" s="16"/>
      <c r="V75" s="12"/>
      <c r="W75" s="12"/>
      <c r="X75" s="47">
        <f>S75*T75-P75-Q75-Y75</f>
        <v>10.841249999999999</v>
      </c>
      <c r="Y75" s="13"/>
    </row>
    <row r="76" spans="1:25" ht="30" x14ac:dyDescent="0.25">
      <c r="A76" s="139" t="s">
        <v>139</v>
      </c>
      <c r="B76" s="139" t="s">
        <v>361</v>
      </c>
      <c r="C76" s="139" t="s">
        <v>635</v>
      </c>
      <c r="D76" s="101" t="s">
        <v>65</v>
      </c>
      <c r="E76" s="190">
        <v>2.1</v>
      </c>
      <c r="F76" s="139" t="s">
        <v>4</v>
      </c>
      <c r="G76" s="6" t="s">
        <v>5</v>
      </c>
      <c r="H76" s="507"/>
      <c r="I76" s="5" t="s">
        <v>569</v>
      </c>
      <c r="J76" s="6"/>
      <c r="K76" s="5" t="s">
        <v>2033</v>
      </c>
      <c r="L76" s="12" t="s">
        <v>6</v>
      </c>
      <c r="M76" s="179" t="s">
        <v>7</v>
      </c>
      <c r="N76" s="150">
        <v>875</v>
      </c>
      <c r="O76" s="22">
        <v>2125</v>
      </c>
      <c r="P76" s="49">
        <f t="shared" si="4"/>
        <v>1.859375</v>
      </c>
      <c r="Q76" s="13"/>
      <c r="R76" s="12"/>
      <c r="S76" s="13">
        <v>5.4</v>
      </c>
      <c r="T76" s="12">
        <v>2.6</v>
      </c>
      <c r="U76" s="13"/>
      <c r="V76" s="12"/>
      <c r="W76" s="12"/>
      <c r="X76" s="47">
        <f>S76*T76-P76-Q76-Y76</f>
        <v>12.180625000000001</v>
      </c>
      <c r="Y76" s="13"/>
    </row>
    <row r="77" spans="1:25" ht="30" x14ac:dyDescent="0.25">
      <c r="A77" s="139" t="s">
        <v>139</v>
      </c>
      <c r="B77" s="139" t="s">
        <v>361</v>
      </c>
      <c r="C77" s="139" t="s">
        <v>636</v>
      </c>
      <c r="D77" s="101" t="s">
        <v>9</v>
      </c>
      <c r="E77" s="190">
        <v>2.1</v>
      </c>
      <c r="F77" s="139" t="s">
        <v>4</v>
      </c>
      <c r="G77" s="6" t="s">
        <v>5</v>
      </c>
      <c r="H77" s="507"/>
      <c r="I77" s="5" t="s">
        <v>569</v>
      </c>
      <c r="J77" s="6"/>
      <c r="K77" s="5" t="s">
        <v>2033</v>
      </c>
      <c r="L77" s="12" t="s">
        <v>10</v>
      </c>
      <c r="M77" s="179" t="s">
        <v>7</v>
      </c>
      <c r="N77" s="150">
        <v>1750</v>
      </c>
      <c r="O77" s="22">
        <v>2125</v>
      </c>
      <c r="P77" s="49">
        <f t="shared" si="4"/>
        <v>3.71875</v>
      </c>
      <c r="Q77" s="13"/>
      <c r="R77" s="12"/>
      <c r="S77" s="13">
        <v>6.45</v>
      </c>
      <c r="T77" s="12">
        <v>2.6</v>
      </c>
      <c r="U77" s="16">
        <f>S77*T77-P77-Q77-X77-Y77</f>
        <v>13.05125</v>
      </c>
      <c r="V77" s="12"/>
      <c r="W77" s="12"/>
      <c r="X77" s="13"/>
      <c r="Y77" s="13"/>
    </row>
    <row r="78" spans="1:25" ht="30" x14ac:dyDescent="0.25">
      <c r="A78" s="139" t="s">
        <v>139</v>
      </c>
      <c r="B78" s="139" t="s">
        <v>361</v>
      </c>
      <c r="C78" s="139" t="s">
        <v>637</v>
      </c>
      <c r="D78" s="101" t="s">
        <v>547</v>
      </c>
      <c r="E78" s="190">
        <v>25.3</v>
      </c>
      <c r="F78" s="139" t="s">
        <v>4</v>
      </c>
      <c r="G78" s="6" t="s">
        <v>5</v>
      </c>
      <c r="H78" s="507"/>
      <c r="I78" s="5" t="s">
        <v>569</v>
      </c>
      <c r="J78" s="6"/>
      <c r="K78" s="5" t="s">
        <v>2033</v>
      </c>
      <c r="L78" s="12" t="s">
        <v>10</v>
      </c>
      <c r="M78" s="12" t="s">
        <v>7</v>
      </c>
      <c r="N78" s="150">
        <v>2875</v>
      </c>
      <c r="O78" s="22">
        <v>2125</v>
      </c>
      <c r="P78" s="49">
        <f t="shared" si="4"/>
        <v>6.109375</v>
      </c>
      <c r="Q78" s="13"/>
      <c r="R78" s="12"/>
      <c r="S78" s="13">
        <v>28.03</v>
      </c>
      <c r="T78" s="12">
        <v>3</v>
      </c>
      <c r="U78" s="16">
        <f>S78*T78-P78-Q78-X78-Y78</f>
        <v>75.980625000000003</v>
      </c>
      <c r="V78" s="12"/>
      <c r="W78" s="12"/>
      <c r="X78" s="13">
        <v>2</v>
      </c>
      <c r="Y78" s="13"/>
    </row>
    <row r="79" spans="1:25" ht="30" x14ac:dyDescent="0.25">
      <c r="A79" s="139" t="s">
        <v>139</v>
      </c>
      <c r="B79" s="139" t="s">
        <v>361</v>
      </c>
      <c r="C79" s="139" t="s">
        <v>638</v>
      </c>
      <c r="D79" s="101" t="s">
        <v>9</v>
      </c>
      <c r="E79" s="190">
        <v>2.1</v>
      </c>
      <c r="F79" s="139" t="s">
        <v>4</v>
      </c>
      <c r="G79" s="6" t="s">
        <v>5</v>
      </c>
      <c r="H79" s="507"/>
      <c r="I79" s="5" t="s">
        <v>569</v>
      </c>
      <c r="J79" s="6"/>
      <c r="K79" s="5" t="s">
        <v>2033</v>
      </c>
      <c r="L79" s="12" t="s">
        <v>10</v>
      </c>
      <c r="M79" s="179" t="s">
        <v>7</v>
      </c>
      <c r="N79" s="150">
        <v>1750</v>
      </c>
      <c r="O79" s="22">
        <v>2125</v>
      </c>
      <c r="P79" s="49">
        <f t="shared" ref="P79:P121" si="6">N79*O79*0.000001</f>
        <v>3.71875</v>
      </c>
      <c r="Q79" s="13"/>
      <c r="R79" s="12"/>
      <c r="S79" s="13">
        <v>5.89</v>
      </c>
      <c r="T79" s="12">
        <v>2.6</v>
      </c>
      <c r="U79" s="16">
        <f t="shared" ref="U79:U84" si="7">S79*T79-P79-Q79-X79-Y79</f>
        <v>11.59525</v>
      </c>
      <c r="V79" s="12"/>
      <c r="W79" s="12"/>
      <c r="X79" s="13"/>
      <c r="Y79" s="13"/>
    </row>
    <row r="80" spans="1:25" ht="30" x14ac:dyDescent="0.25">
      <c r="A80" s="139" t="s">
        <v>139</v>
      </c>
      <c r="B80" s="139" t="s">
        <v>361</v>
      </c>
      <c r="C80" s="139" t="s">
        <v>639</v>
      </c>
      <c r="D80" s="101" t="s">
        <v>640</v>
      </c>
      <c r="E80" s="190">
        <v>12.3</v>
      </c>
      <c r="F80" s="139" t="s">
        <v>4</v>
      </c>
      <c r="G80" s="6" t="s">
        <v>5</v>
      </c>
      <c r="H80" s="507"/>
      <c r="I80" s="5" t="s">
        <v>569</v>
      </c>
      <c r="J80" s="6"/>
      <c r="K80" s="5" t="s">
        <v>2033</v>
      </c>
      <c r="L80" s="12" t="s">
        <v>10</v>
      </c>
      <c r="M80" s="12" t="s">
        <v>7</v>
      </c>
      <c r="N80" s="150">
        <v>875</v>
      </c>
      <c r="O80" s="22">
        <v>2125</v>
      </c>
      <c r="P80" s="49">
        <f t="shared" si="6"/>
        <v>1.859375</v>
      </c>
      <c r="Q80" s="13"/>
      <c r="R80" s="12"/>
      <c r="S80" s="13">
        <v>14.6</v>
      </c>
      <c r="T80" s="12">
        <v>2.7</v>
      </c>
      <c r="U80" s="16">
        <f t="shared" si="7"/>
        <v>37.560625000000002</v>
      </c>
      <c r="V80" s="12"/>
      <c r="W80" s="12"/>
      <c r="X80" s="13"/>
      <c r="Y80" s="13"/>
    </row>
    <row r="81" spans="1:25" ht="30" x14ac:dyDescent="0.25">
      <c r="A81" s="139" t="s">
        <v>139</v>
      </c>
      <c r="B81" s="139" t="s">
        <v>361</v>
      </c>
      <c r="C81" s="139" t="s">
        <v>641</v>
      </c>
      <c r="D81" s="101" t="s">
        <v>594</v>
      </c>
      <c r="E81" s="190">
        <v>10.7</v>
      </c>
      <c r="F81" s="139" t="s">
        <v>4</v>
      </c>
      <c r="G81" s="6" t="s">
        <v>5</v>
      </c>
      <c r="H81" s="507"/>
      <c r="I81" s="5" t="s">
        <v>569</v>
      </c>
      <c r="J81" s="6"/>
      <c r="K81" s="5" t="s">
        <v>2033</v>
      </c>
      <c r="L81" s="12" t="s">
        <v>10</v>
      </c>
      <c r="M81" s="179" t="s">
        <v>388</v>
      </c>
      <c r="N81" s="150">
        <v>1500</v>
      </c>
      <c r="O81" s="22">
        <v>2125</v>
      </c>
      <c r="P81" s="49">
        <f t="shared" si="6"/>
        <v>3.1875</v>
      </c>
      <c r="Q81" s="13"/>
      <c r="R81" s="12"/>
      <c r="S81" s="13">
        <v>13.4</v>
      </c>
      <c r="T81" s="12">
        <v>2.7</v>
      </c>
      <c r="U81" s="11">
        <f t="shared" si="7"/>
        <v>29.792500000000008</v>
      </c>
      <c r="V81" s="12"/>
      <c r="W81" s="12"/>
      <c r="X81" s="13">
        <v>3.2</v>
      </c>
      <c r="Y81" s="13"/>
    </row>
    <row r="82" spans="1:25" ht="30" x14ac:dyDescent="0.25">
      <c r="A82" s="144" t="s">
        <v>139</v>
      </c>
      <c r="B82" s="144" t="s">
        <v>361</v>
      </c>
      <c r="C82" s="144" t="s">
        <v>642</v>
      </c>
      <c r="D82" s="156" t="s">
        <v>154</v>
      </c>
      <c r="E82" s="195">
        <v>33.06</v>
      </c>
      <c r="F82" s="144" t="s">
        <v>4</v>
      </c>
      <c r="G82" s="6" t="s">
        <v>5</v>
      </c>
      <c r="H82" s="507"/>
      <c r="I82" s="5" t="s">
        <v>569</v>
      </c>
      <c r="J82" s="6"/>
      <c r="K82" s="5" t="s">
        <v>2033</v>
      </c>
      <c r="L82" s="12" t="s">
        <v>10</v>
      </c>
      <c r="M82" s="12" t="s">
        <v>7</v>
      </c>
      <c r="N82" s="150">
        <v>9750</v>
      </c>
      <c r="O82" s="22">
        <v>2125</v>
      </c>
      <c r="P82" s="49">
        <f t="shared" si="6"/>
        <v>20.71875</v>
      </c>
      <c r="Q82" s="13"/>
      <c r="R82" s="12"/>
      <c r="S82" s="13">
        <v>37.01</v>
      </c>
      <c r="T82" s="12">
        <v>2.7</v>
      </c>
      <c r="U82" s="16">
        <f t="shared" si="7"/>
        <v>74.208250000000007</v>
      </c>
      <c r="V82" s="12"/>
      <c r="W82" s="12"/>
      <c r="X82" s="13">
        <v>2</v>
      </c>
      <c r="Y82" s="13">
        <v>3</v>
      </c>
    </row>
    <row r="83" spans="1:25" ht="30" x14ac:dyDescent="0.25">
      <c r="A83" s="144" t="s">
        <v>139</v>
      </c>
      <c r="B83" s="144" t="s">
        <v>361</v>
      </c>
      <c r="C83" s="144" t="s">
        <v>643</v>
      </c>
      <c r="D83" s="156" t="s">
        <v>554</v>
      </c>
      <c r="E83" s="195">
        <v>10.6</v>
      </c>
      <c r="F83" s="144" t="s">
        <v>4</v>
      </c>
      <c r="G83" s="6" t="s">
        <v>5</v>
      </c>
      <c r="H83" s="507"/>
      <c r="I83" s="5" t="s">
        <v>569</v>
      </c>
      <c r="J83" s="6"/>
      <c r="K83" s="5" t="s">
        <v>2033</v>
      </c>
      <c r="L83" s="12" t="s">
        <v>10</v>
      </c>
      <c r="M83" s="12" t="s">
        <v>7</v>
      </c>
      <c r="N83" s="150">
        <v>2375</v>
      </c>
      <c r="O83" s="22">
        <v>2125</v>
      </c>
      <c r="P83" s="49">
        <f t="shared" si="6"/>
        <v>5.046875</v>
      </c>
      <c r="Q83" s="13"/>
      <c r="R83" s="12"/>
      <c r="S83" s="13">
        <v>13.89</v>
      </c>
      <c r="T83" s="12">
        <v>2.7</v>
      </c>
      <c r="U83" s="16">
        <f t="shared" si="7"/>
        <v>29.996125000000006</v>
      </c>
      <c r="V83" s="12"/>
      <c r="W83" s="12"/>
      <c r="X83" s="13"/>
      <c r="Y83" s="13">
        <v>2.46</v>
      </c>
    </row>
    <row r="84" spans="1:25" ht="30" x14ac:dyDescent="0.25">
      <c r="A84" s="139" t="s">
        <v>139</v>
      </c>
      <c r="B84" s="139" t="s">
        <v>361</v>
      </c>
      <c r="C84" s="139" t="s">
        <v>644</v>
      </c>
      <c r="D84" s="101" t="s">
        <v>554</v>
      </c>
      <c r="E84" s="190">
        <v>10.3</v>
      </c>
      <c r="F84" s="139" t="s">
        <v>4</v>
      </c>
      <c r="G84" s="6" t="s">
        <v>5</v>
      </c>
      <c r="H84" s="507"/>
      <c r="I84" s="5" t="s">
        <v>569</v>
      </c>
      <c r="J84" s="6"/>
      <c r="K84" s="5" t="s">
        <v>2033</v>
      </c>
      <c r="L84" s="12" t="s">
        <v>10</v>
      </c>
      <c r="M84" s="12" t="s">
        <v>7</v>
      </c>
      <c r="N84" s="150">
        <v>1750</v>
      </c>
      <c r="O84" s="22">
        <v>2125</v>
      </c>
      <c r="P84" s="49">
        <f t="shared" si="6"/>
        <v>3.71875</v>
      </c>
      <c r="Q84" s="13"/>
      <c r="R84" s="12"/>
      <c r="S84" s="13">
        <v>13.1</v>
      </c>
      <c r="T84" s="12">
        <v>2.7</v>
      </c>
      <c r="U84" s="11">
        <f t="shared" si="7"/>
        <v>28.651250000000005</v>
      </c>
      <c r="V84" s="12"/>
      <c r="W84" s="12"/>
      <c r="X84" s="13"/>
      <c r="Y84" s="13">
        <v>3</v>
      </c>
    </row>
    <row r="85" spans="1:25" ht="30" x14ac:dyDescent="0.25">
      <c r="A85" s="139" t="s">
        <v>139</v>
      </c>
      <c r="B85" s="139" t="s">
        <v>361</v>
      </c>
      <c r="C85" s="139" t="s">
        <v>645</v>
      </c>
      <c r="D85" s="101" t="s">
        <v>556</v>
      </c>
      <c r="E85" s="190">
        <v>31.3</v>
      </c>
      <c r="F85" s="139" t="s">
        <v>4</v>
      </c>
      <c r="G85" s="6" t="s">
        <v>5</v>
      </c>
      <c r="H85" s="507"/>
      <c r="I85" s="5" t="s">
        <v>569</v>
      </c>
      <c r="J85" s="6"/>
      <c r="K85" s="5" t="s">
        <v>2033</v>
      </c>
      <c r="L85" s="12" t="s">
        <v>10</v>
      </c>
      <c r="M85" s="12" t="s">
        <v>7</v>
      </c>
      <c r="N85" s="150">
        <v>3250</v>
      </c>
      <c r="O85" s="22">
        <v>2125</v>
      </c>
      <c r="P85" s="49">
        <f t="shared" si="6"/>
        <v>6.90625</v>
      </c>
      <c r="Q85" s="13"/>
      <c r="R85" s="12"/>
      <c r="S85" s="13">
        <v>22.25</v>
      </c>
      <c r="T85" s="12">
        <v>3</v>
      </c>
      <c r="U85" s="25"/>
      <c r="V85" s="152">
        <f>S85*T85-P85-Q85-X85-Y85</f>
        <v>57.84375</v>
      </c>
      <c r="W85" s="12"/>
      <c r="X85" s="13">
        <v>2</v>
      </c>
      <c r="Y85" s="13"/>
    </row>
    <row r="86" spans="1:25" ht="30" x14ac:dyDescent="0.25">
      <c r="A86" s="144" t="s">
        <v>139</v>
      </c>
      <c r="B86" s="144" t="s">
        <v>361</v>
      </c>
      <c r="C86" s="144" t="s">
        <v>646</v>
      </c>
      <c r="D86" s="156" t="s">
        <v>3</v>
      </c>
      <c r="E86" s="195">
        <v>5.8</v>
      </c>
      <c r="F86" s="144" t="s">
        <v>4</v>
      </c>
      <c r="G86" s="6" t="s">
        <v>5</v>
      </c>
      <c r="H86" s="507"/>
      <c r="I86" s="5" t="s">
        <v>569</v>
      </c>
      <c r="J86" s="6"/>
      <c r="K86" s="5" t="s">
        <v>2033</v>
      </c>
      <c r="L86" s="12" t="s">
        <v>10</v>
      </c>
      <c r="M86" s="12" t="s">
        <v>7</v>
      </c>
      <c r="N86" s="150">
        <v>3500</v>
      </c>
      <c r="O86" s="22">
        <v>2125</v>
      </c>
      <c r="P86" s="49">
        <f t="shared" si="6"/>
        <v>7.4375</v>
      </c>
      <c r="Q86" s="13"/>
      <c r="R86" s="12"/>
      <c r="S86" s="13">
        <v>11.95</v>
      </c>
      <c r="T86" s="12">
        <v>2.6</v>
      </c>
      <c r="U86" s="11">
        <f>S86*T86-P86-Q86-X86-Y86</f>
        <v>23.6325</v>
      </c>
      <c r="V86" s="12"/>
      <c r="W86" s="12"/>
      <c r="X86" s="13"/>
      <c r="Y86" s="13"/>
    </row>
    <row r="87" spans="1:25" ht="30" x14ac:dyDescent="0.25">
      <c r="A87" s="144" t="s">
        <v>139</v>
      </c>
      <c r="B87" s="144" t="s">
        <v>361</v>
      </c>
      <c r="C87" s="144" t="s">
        <v>647</v>
      </c>
      <c r="D87" s="156" t="s">
        <v>9</v>
      </c>
      <c r="E87" s="195">
        <v>2.5</v>
      </c>
      <c r="F87" s="144" t="s">
        <v>4</v>
      </c>
      <c r="G87" s="6" t="s">
        <v>5</v>
      </c>
      <c r="H87" s="507"/>
      <c r="I87" s="5" t="s">
        <v>569</v>
      </c>
      <c r="J87" s="6"/>
      <c r="K87" s="5" t="s">
        <v>2033</v>
      </c>
      <c r="L87" s="12" t="s">
        <v>10</v>
      </c>
      <c r="M87" s="12" t="s">
        <v>7</v>
      </c>
      <c r="N87" s="150">
        <v>875</v>
      </c>
      <c r="O87" s="22">
        <v>2125</v>
      </c>
      <c r="P87" s="49">
        <f t="shared" si="6"/>
        <v>1.859375</v>
      </c>
      <c r="Q87" s="13"/>
      <c r="R87" s="12"/>
      <c r="S87" s="13">
        <v>6.6</v>
      </c>
      <c r="T87" s="12">
        <v>2.6</v>
      </c>
      <c r="U87" s="11">
        <f>S87*T87-P87-Q87-X87-Y87</f>
        <v>15.300625</v>
      </c>
      <c r="V87" s="12"/>
      <c r="W87" s="12"/>
      <c r="X87" s="13"/>
      <c r="Y87" s="13"/>
    </row>
    <row r="88" spans="1:25" ht="30" x14ac:dyDescent="0.25">
      <c r="A88" s="144" t="s">
        <v>139</v>
      </c>
      <c r="B88" s="144" t="s">
        <v>361</v>
      </c>
      <c r="C88" s="144" t="s">
        <v>648</v>
      </c>
      <c r="D88" s="156" t="s">
        <v>9</v>
      </c>
      <c r="E88" s="195">
        <v>3</v>
      </c>
      <c r="F88" s="144" t="s">
        <v>4</v>
      </c>
      <c r="G88" s="6" t="s">
        <v>5</v>
      </c>
      <c r="H88" s="507"/>
      <c r="I88" s="5" t="s">
        <v>569</v>
      </c>
      <c r="J88" s="6"/>
      <c r="K88" s="5" t="s">
        <v>2033</v>
      </c>
      <c r="L88" s="179" t="s">
        <v>10</v>
      </c>
      <c r="M88" s="12" t="s">
        <v>7</v>
      </c>
      <c r="N88" s="150">
        <v>1750</v>
      </c>
      <c r="O88" s="22">
        <v>2125</v>
      </c>
      <c r="P88" s="49">
        <f t="shared" si="6"/>
        <v>3.71875</v>
      </c>
      <c r="Q88" s="13"/>
      <c r="R88" s="12"/>
      <c r="S88" s="13">
        <v>7.14</v>
      </c>
      <c r="T88" s="12">
        <v>2.6</v>
      </c>
      <c r="U88" s="16">
        <f>S88*T88-P88-Q88-X88-Y88</f>
        <v>14.84525</v>
      </c>
      <c r="V88" s="12"/>
      <c r="W88" s="12"/>
      <c r="X88" s="13"/>
      <c r="Y88" s="13"/>
    </row>
    <row r="89" spans="1:25" ht="30" x14ac:dyDescent="0.25">
      <c r="A89" s="144" t="s">
        <v>139</v>
      </c>
      <c r="B89" s="144" t="s">
        <v>361</v>
      </c>
      <c r="C89" s="144" t="s">
        <v>649</v>
      </c>
      <c r="D89" s="156" t="s">
        <v>65</v>
      </c>
      <c r="E89" s="195">
        <v>3</v>
      </c>
      <c r="F89" s="144" t="s">
        <v>4</v>
      </c>
      <c r="G89" s="6" t="s">
        <v>5</v>
      </c>
      <c r="H89" s="507"/>
      <c r="I89" s="5" t="s">
        <v>569</v>
      </c>
      <c r="J89" s="6"/>
      <c r="K89" s="5" t="s">
        <v>2033</v>
      </c>
      <c r="L89" s="12" t="s">
        <v>6</v>
      </c>
      <c r="M89" s="179" t="s">
        <v>7</v>
      </c>
      <c r="N89" s="150">
        <v>875</v>
      </c>
      <c r="O89" s="22">
        <v>2125</v>
      </c>
      <c r="P89" s="49">
        <f t="shared" si="6"/>
        <v>1.859375</v>
      </c>
      <c r="Q89" s="13"/>
      <c r="R89" s="12"/>
      <c r="S89" s="13">
        <v>5.4</v>
      </c>
      <c r="T89" s="12">
        <v>2.6</v>
      </c>
      <c r="U89" s="13"/>
      <c r="V89" s="12"/>
      <c r="W89" s="12"/>
      <c r="X89" s="47">
        <f>S89*T89-P89-Q89-Y89</f>
        <v>12.180625000000001</v>
      </c>
      <c r="Y89" s="13"/>
    </row>
    <row r="90" spans="1:25" ht="30" x14ac:dyDescent="0.25">
      <c r="A90" s="144" t="s">
        <v>139</v>
      </c>
      <c r="B90" s="144" t="s">
        <v>361</v>
      </c>
      <c r="C90" s="144" t="s">
        <v>650</v>
      </c>
      <c r="D90" s="156" t="s">
        <v>9</v>
      </c>
      <c r="E90" s="195">
        <v>2.2000000000000002</v>
      </c>
      <c r="F90" s="144" t="s">
        <v>4</v>
      </c>
      <c r="G90" s="6" t="s">
        <v>5</v>
      </c>
      <c r="H90" s="507"/>
      <c r="I90" s="5" t="s">
        <v>569</v>
      </c>
      <c r="J90" s="6"/>
      <c r="K90" s="5" t="s">
        <v>2033</v>
      </c>
      <c r="L90" s="12" t="s">
        <v>10</v>
      </c>
      <c r="M90" s="12" t="s">
        <v>7</v>
      </c>
      <c r="N90" s="150">
        <v>875</v>
      </c>
      <c r="O90" s="22">
        <v>2125</v>
      </c>
      <c r="P90" s="49">
        <f t="shared" si="6"/>
        <v>1.859375</v>
      </c>
      <c r="Q90" s="13"/>
      <c r="R90" s="12"/>
      <c r="S90" s="13">
        <v>6.01</v>
      </c>
      <c r="T90" s="12">
        <v>2.6</v>
      </c>
      <c r="U90" s="11">
        <f>S90*T90-P90-Q90-X90-Y90</f>
        <v>13.766624999999999</v>
      </c>
      <c r="V90" s="12"/>
      <c r="W90" s="12"/>
      <c r="X90" s="13"/>
      <c r="Y90" s="13"/>
    </row>
    <row r="91" spans="1:25" ht="30" x14ac:dyDescent="0.25">
      <c r="A91" s="144" t="s">
        <v>139</v>
      </c>
      <c r="B91" s="144" t="s">
        <v>361</v>
      </c>
      <c r="C91" s="144" t="s">
        <v>651</v>
      </c>
      <c r="D91" s="156" t="s">
        <v>9</v>
      </c>
      <c r="E91" s="195">
        <v>3.2</v>
      </c>
      <c r="F91" s="144" t="s">
        <v>4</v>
      </c>
      <c r="G91" s="6" t="s">
        <v>5</v>
      </c>
      <c r="H91" s="507"/>
      <c r="I91" s="5" t="s">
        <v>569</v>
      </c>
      <c r="J91" s="6"/>
      <c r="K91" s="5" t="s">
        <v>2033</v>
      </c>
      <c r="L91" s="12" t="s">
        <v>10</v>
      </c>
      <c r="M91" s="179" t="s">
        <v>7</v>
      </c>
      <c r="N91" s="150">
        <v>875</v>
      </c>
      <c r="O91" s="22">
        <v>2125</v>
      </c>
      <c r="P91" s="49">
        <f t="shared" si="6"/>
        <v>1.859375</v>
      </c>
      <c r="Q91" s="13"/>
      <c r="R91" s="12"/>
      <c r="S91" s="13">
        <v>7.7</v>
      </c>
      <c r="T91" s="12">
        <v>2.6</v>
      </c>
      <c r="U91" s="16">
        <f>S91*T91-P91-Q91-X91-Y91</f>
        <v>18.160625</v>
      </c>
      <c r="V91" s="12"/>
      <c r="W91" s="12"/>
      <c r="X91" s="13"/>
      <c r="Y91" s="13"/>
    </row>
    <row r="92" spans="1:25" ht="60" x14ac:dyDescent="0.25">
      <c r="A92" s="144" t="s">
        <v>139</v>
      </c>
      <c r="B92" s="144" t="s">
        <v>361</v>
      </c>
      <c r="C92" s="144" t="s">
        <v>652</v>
      </c>
      <c r="D92" s="156" t="s">
        <v>653</v>
      </c>
      <c r="E92" s="195">
        <v>37.700000000000003</v>
      </c>
      <c r="F92" s="144" t="s">
        <v>4</v>
      </c>
      <c r="G92" s="6" t="s">
        <v>5</v>
      </c>
      <c r="H92" s="507"/>
      <c r="I92" s="5" t="s">
        <v>569</v>
      </c>
      <c r="J92" s="6"/>
      <c r="K92" s="5" t="s">
        <v>2032</v>
      </c>
      <c r="L92" s="179" t="s">
        <v>10</v>
      </c>
      <c r="M92" s="12" t="s">
        <v>7</v>
      </c>
      <c r="N92" s="150">
        <v>1500</v>
      </c>
      <c r="O92" s="22">
        <v>2125</v>
      </c>
      <c r="P92" s="49">
        <f t="shared" si="6"/>
        <v>3.1875</v>
      </c>
      <c r="Q92" s="13"/>
      <c r="R92" s="12"/>
      <c r="S92" s="13">
        <v>25.32</v>
      </c>
      <c r="T92" s="12">
        <v>2.6</v>
      </c>
      <c r="U92" s="25"/>
      <c r="V92" s="152">
        <f>S92*T92-P92-Q92-X92-Y92</f>
        <v>62.644500000000008</v>
      </c>
      <c r="W92" s="12"/>
      <c r="X92" s="13"/>
      <c r="Y92" s="13"/>
    </row>
    <row r="93" spans="1:25" x14ac:dyDescent="0.25">
      <c r="A93" s="1" t="s">
        <v>139</v>
      </c>
      <c r="B93" s="1" t="s">
        <v>278</v>
      </c>
      <c r="C93" s="1" t="s">
        <v>654</v>
      </c>
      <c r="D93" s="28" t="s">
        <v>224</v>
      </c>
      <c r="E93" s="29">
        <v>2.9</v>
      </c>
      <c r="F93" s="1" t="s">
        <v>4</v>
      </c>
      <c r="G93" s="6" t="s">
        <v>5</v>
      </c>
      <c r="H93" s="507"/>
      <c r="I93" s="5"/>
      <c r="J93" s="6"/>
      <c r="K93" s="5" t="s">
        <v>1779</v>
      </c>
      <c r="L93" s="12" t="s">
        <v>6</v>
      </c>
      <c r="M93" s="12" t="s">
        <v>7</v>
      </c>
      <c r="N93" s="150">
        <v>875</v>
      </c>
      <c r="O93" s="22">
        <v>2125</v>
      </c>
      <c r="P93" s="49">
        <f t="shared" si="6"/>
        <v>1.859375</v>
      </c>
      <c r="Q93" s="13"/>
      <c r="R93" s="12"/>
      <c r="S93" s="13">
        <v>7.07</v>
      </c>
      <c r="T93" s="12">
        <v>2.6</v>
      </c>
      <c r="U93" s="25"/>
      <c r="V93" s="12"/>
      <c r="W93" s="12"/>
      <c r="X93" s="47">
        <f>S93*T93-P93-Q93-Y93</f>
        <v>16.522625000000001</v>
      </c>
      <c r="Y93" s="13"/>
    </row>
    <row r="94" spans="1:25" x14ac:dyDescent="0.25">
      <c r="A94" s="1" t="s">
        <v>139</v>
      </c>
      <c r="B94" s="1" t="s">
        <v>278</v>
      </c>
      <c r="C94" s="1" t="s">
        <v>655</v>
      </c>
      <c r="D94" s="28" t="s">
        <v>294</v>
      </c>
      <c r="E94" s="29">
        <v>71.5</v>
      </c>
      <c r="F94" s="1" t="s">
        <v>4</v>
      </c>
      <c r="G94" s="6" t="s">
        <v>5</v>
      </c>
      <c r="H94" s="507"/>
      <c r="I94" s="5"/>
      <c r="J94" s="6"/>
      <c r="K94" s="5" t="s">
        <v>1779</v>
      </c>
      <c r="L94" s="12" t="s">
        <v>6</v>
      </c>
      <c r="M94" s="12" t="s">
        <v>7</v>
      </c>
      <c r="N94" s="150">
        <v>6625</v>
      </c>
      <c r="O94" s="22">
        <v>2125</v>
      </c>
      <c r="P94" s="49">
        <f t="shared" si="6"/>
        <v>14.078125</v>
      </c>
      <c r="Q94" s="13"/>
      <c r="R94" s="12"/>
      <c r="S94" s="13">
        <v>36.75</v>
      </c>
      <c r="T94" s="12">
        <v>3</v>
      </c>
      <c r="U94" s="11">
        <f t="shared" ref="U94:U102" si="8">S94*T94-P94-Q94-X94-Y94</f>
        <v>85.391874999999999</v>
      </c>
      <c r="V94" s="12"/>
      <c r="W94" s="12"/>
      <c r="X94" s="13"/>
      <c r="Y94" s="13">
        <v>10.78</v>
      </c>
    </row>
    <row r="95" spans="1:25" x14ac:dyDescent="0.25">
      <c r="A95" s="1" t="s">
        <v>139</v>
      </c>
      <c r="B95" s="1" t="s">
        <v>278</v>
      </c>
      <c r="C95" s="1" t="s">
        <v>656</v>
      </c>
      <c r="D95" s="28" t="s">
        <v>657</v>
      </c>
      <c r="E95" s="29">
        <v>8.5</v>
      </c>
      <c r="F95" s="1" t="s">
        <v>4</v>
      </c>
      <c r="G95" s="6" t="s">
        <v>5</v>
      </c>
      <c r="H95" s="507"/>
      <c r="I95" s="5"/>
      <c r="J95" s="6"/>
      <c r="K95" s="5" t="s">
        <v>1779</v>
      </c>
      <c r="L95" s="12" t="s">
        <v>10</v>
      </c>
      <c r="M95" s="12" t="s">
        <v>7</v>
      </c>
      <c r="N95" s="150">
        <v>1125</v>
      </c>
      <c r="O95" s="22">
        <v>2125</v>
      </c>
      <c r="P95" s="49">
        <f t="shared" si="6"/>
        <v>2.390625</v>
      </c>
      <c r="Q95" s="13"/>
      <c r="R95" s="12"/>
      <c r="S95" s="13">
        <v>14.33</v>
      </c>
      <c r="T95" s="12">
        <v>3</v>
      </c>
      <c r="U95" s="16">
        <f t="shared" si="8"/>
        <v>40.599375000000002</v>
      </c>
      <c r="V95" s="12"/>
      <c r="W95" s="12"/>
      <c r="X95" s="13"/>
      <c r="Y95" s="13"/>
    </row>
    <row r="96" spans="1:25" ht="30" x14ac:dyDescent="0.25">
      <c r="A96" s="139" t="s">
        <v>139</v>
      </c>
      <c r="B96" s="139" t="s">
        <v>361</v>
      </c>
      <c r="C96" s="139" t="s">
        <v>658</v>
      </c>
      <c r="D96" s="101" t="s">
        <v>55</v>
      </c>
      <c r="E96" s="190">
        <v>106.4</v>
      </c>
      <c r="F96" s="139" t="s">
        <v>4</v>
      </c>
      <c r="G96" s="6" t="s">
        <v>77</v>
      </c>
      <c r="H96" s="507"/>
      <c r="I96" s="5" t="s">
        <v>569</v>
      </c>
      <c r="J96" s="6"/>
      <c r="K96" s="5" t="s">
        <v>2033</v>
      </c>
      <c r="L96" s="12" t="s">
        <v>6</v>
      </c>
      <c r="M96" s="12" t="s">
        <v>7</v>
      </c>
      <c r="N96" s="150">
        <v>24725</v>
      </c>
      <c r="O96" s="22">
        <v>2125</v>
      </c>
      <c r="P96" s="49">
        <f t="shared" si="6"/>
        <v>52.540624999999999</v>
      </c>
      <c r="Q96" s="13">
        <v>4.1399999999999997</v>
      </c>
      <c r="R96" s="12"/>
      <c r="S96" s="13">
        <v>93.11</v>
      </c>
      <c r="T96" s="12">
        <v>2.7</v>
      </c>
      <c r="U96" s="16">
        <f t="shared" si="8"/>
        <v>194.71637500000003</v>
      </c>
      <c r="V96" s="12"/>
      <c r="W96" s="12"/>
      <c r="X96" s="13"/>
      <c r="Y96" s="13"/>
    </row>
    <row r="97" spans="1:25" ht="30" x14ac:dyDescent="0.25">
      <c r="A97" s="139" t="s">
        <v>139</v>
      </c>
      <c r="B97" s="139" t="s">
        <v>361</v>
      </c>
      <c r="C97" s="139" t="s">
        <v>659</v>
      </c>
      <c r="D97" s="101" t="s">
        <v>660</v>
      </c>
      <c r="E97" s="190">
        <v>11.3</v>
      </c>
      <c r="F97" s="139" t="s">
        <v>4</v>
      </c>
      <c r="G97" s="6" t="s">
        <v>77</v>
      </c>
      <c r="H97" s="507"/>
      <c r="I97" s="5" t="s">
        <v>569</v>
      </c>
      <c r="J97" s="6"/>
      <c r="K97" s="5" t="s">
        <v>2033</v>
      </c>
      <c r="L97" s="12" t="s">
        <v>10</v>
      </c>
      <c r="M97" s="12" t="s">
        <v>7</v>
      </c>
      <c r="N97" s="150">
        <v>2100</v>
      </c>
      <c r="O97" s="22">
        <v>2125</v>
      </c>
      <c r="P97" s="49">
        <f t="shared" si="6"/>
        <v>4.4624999999999995</v>
      </c>
      <c r="Q97" s="13">
        <v>1.72</v>
      </c>
      <c r="R97" s="12">
        <v>1.1299999999999999</v>
      </c>
      <c r="S97" s="13">
        <v>13.71</v>
      </c>
      <c r="T97" s="12">
        <v>3</v>
      </c>
      <c r="U97" s="16">
        <f t="shared" si="8"/>
        <v>32.947500000000005</v>
      </c>
      <c r="V97" s="12"/>
      <c r="W97" s="12"/>
      <c r="X97" s="13">
        <v>2</v>
      </c>
      <c r="Y97" s="13"/>
    </row>
    <row r="98" spans="1:25" ht="30" x14ac:dyDescent="0.25">
      <c r="A98" s="139" t="s">
        <v>139</v>
      </c>
      <c r="B98" s="139" t="s">
        <v>361</v>
      </c>
      <c r="C98" s="139" t="s">
        <v>661</v>
      </c>
      <c r="D98" s="101" t="s">
        <v>662</v>
      </c>
      <c r="E98" s="190">
        <v>16.7</v>
      </c>
      <c r="F98" s="139" t="s">
        <v>4</v>
      </c>
      <c r="G98" s="6" t="s">
        <v>77</v>
      </c>
      <c r="H98" s="507"/>
      <c r="I98" s="5" t="s">
        <v>569</v>
      </c>
      <c r="J98" s="6"/>
      <c r="K98" s="5" t="s">
        <v>2033</v>
      </c>
      <c r="L98" s="12" t="s">
        <v>10</v>
      </c>
      <c r="M98" s="12" t="s">
        <v>7</v>
      </c>
      <c r="N98" s="150">
        <v>875</v>
      </c>
      <c r="O98" s="22">
        <v>2125</v>
      </c>
      <c r="P98" s="49">
        <f t="shared" si="6"/>
        <v>1.859375</v>
      </c>
      <c r="Q98" s="13">
        <v>3.45</v>
      </c>
      <c r="R98" s="12">
        <v>2.25</v>
      </c>
      <c r="S98" s="13">
        <v>17.45</v>
      </c>
      <c r="T98" s="12">
        <v>3</v>
      </c>
      <c r="U98" s="16">
        <f t="shared" si="8"/>
        <v>47.040624999999991</v>
      </c>
      <c r="V98" s="12"/>
      <c r="W98" s="12"/>
      <c r="X98" s="13"/>
      <c r="Y98" s="13"/>
    </row>
    <row r="99" spans="1:25" ht="30" x14ac:dyDescent="0.25">
      <c r="A99" s="139" t="s">
        <v>139</v>
      </c>
      <c r="B99" s="139" t="s">
        <v>361</v>
      </c>
      <c r="C99" s="139" t="s">
        <v>663</v>
      </c>
      <c r="D99" s="101" t="s">
        <v>664</v>
      </c>
      <c r="E99" s="190">
        <v>16.5</v>
      </c>
      <c r="F99" s="139" t="s">
        <v>4</v>
      </c>
      <c r="G99" s="6" t="s">
        <v>77</v>
      </c>
      <c r="H99" s="507"/>
      <c r="I99" s="5" t="s">
        <v>569</v>
      </c>
      <c r="J99" s="6"/>
      <c r="K99" s="5" t="s">
        <v>2033</v>
      </c>
      <c r="L99" s="12" t="s">
        <v>10</v>
      </c>
      <c r="M99" s="12" t="s">
        <v>7</v>
      </c>
      <c r="N99" s="150">
        <v>875</v>
      </c>
      <c r="O99" s="22">
        <v>2125</v>
      </c>
      <c r="P99" s="49">
        <f t="shared" si="6"/>
        <v>1.859375</v>
      </c>
      <c r="Q99" s="13">
        <v>3.45</v>
      </c>
      <c r="R99" s="12">
        <v>1.1299999999999999</v>
      </c>
      <c r="S99" s="13">
        <v>17.350000000000001</v>
      </c>
      <c r="T99" s="12">
        <v>3</v>
      </c>
      <c r="U99" s="16">
        <f t="shared" si="8"/>
        <v>46.740625000000001</v>
      </c>
      <c r="V99" s="12"/>
      <c r="W99" s="12"/>
      <c r="X99" s="13"/>
      <c r="Y99" s="13"/>
    </row>
    <row r="100" spans="1:25" ht="30" x14ac:dyDescent="0.25">
      <c r="A100" s="139" t="s">
        <v>139</v>
      </c>
      <c r="B100" s="139" t="s">
        <v>361</v>
      </c>
      <c r="C100" s="139" t="s">
        <v>665</v>
      </c>
      <c r="D100" s="101" t="s">
        <v>664</v>
      </c>
      <c r="E100" s="190">
        <v>16.2</v>
      </c>
      <c r="F100" s="139" t="s">
        <v>4</v>
      </c>
      <c r="G100" s="6" t="s">
        <v>77</v>
      </c>
      <c r="H100" s="507"/>
      <c r="I100" s="5" t="s">
        <v>569</v>
      </c>
      <c r="J100" s="6"/>
      <c r="K100" s="5" t="s">
        <v>2033</v>
      </c>
      <c r="L100" s="12" t="s">
        <v>10</v>
      </c>
      <c r="M100" s="12" t="s">
        <v>7</v>
      </c>
      <c r="N100" s="150">
        <v>875</v>
      </c>
      <c r="O100" s="22">
        <v>2125</v>
      </c>
      <c r="P100" s="49">
        <f t="shared" si="6"/>
        <v>1.859375</v>
      </c>
      <c r="Q100" s="13">
        <v>3.45</v>
      </c>
      <c r="R100" s="12">
        <v>1.1299999999999999</v>
      </c>
      <c r="S100" s="13">
        <v>17.350000000000001</v>
      </c>
      <c r="T100" s="12">
        <v>3</v>
      </c>
      <c r="U100" s="16">
        <f t="shared" si="8"/>
        <v>46.740625000000001</v>
      </c>
      <c r="V100" s="12"/>
      <c r="W100" s="12"/>
      <c r="X100" s="13"/>
      <c r="Y100" s="13"/>
    </row>
    <row r="101" spans="1:25" ht="30" x14ac:dyDescent="0.25">
      <c r="A101" s="139" t="s">
        <v>139</v>
      </c>
      <c r="B101" s="139" t="s">
        <v>361</v>
      </c>
      <c r="C101" s="139" t="s">
        <v>666</v>
      </c>
      <c r="D101" s="101" t="s">
        <v>664</v>
      </c>
      <c r="E101" s="190">
        <v>16.5</v>
      </c>
      <c r="F101" s="139" t="s">
        <v>4</v>
      </c>
      <c r="G101" s="6" t="s">
        <v>77</v>
      </c>
      <c r="H101" s="507"/>
      <c r="I101" s="5" t="s">
        <v>569</v>
      </c>
      <c r="J101" s="6"/>
      <c r="K101" s="5" t="s">
        <v>2033</v>
      </c>
      <c r="L101" s="12" t="s">
        <v>10</v>
      </c>
      <c r="M101" s="12"/>
      <c r="N101" s="150"/>
      <c r="O101" s="22"/>
      <c r="P101" s="49">
        <f t="shared" si="6"/>
        <v>0</v>
      </c>
      <c r="Q101" s="13">
        <v>3.45</v>
      </c>
      <c r="R101" s="12">
        <v>2.25</v>
      </c>
      <c r="S101" s="13">
        <v>17.75</v>
      </c>
      <c r="T101" s="12">
        <v>3</v>
      </c>
      <c r="U101" s="16">
        <f t="shared" si="8"/>
        <v>49.8</v>
      </c>
      <c r="V101" s="12"/>
      <c r="W101" s="12"/>
      <c r="X101" s="13"/>
      <c r="Y101" s="13"/>
    </row>
    <row r="102" spans="1:25" ht="30" x14ac:dyDescent="0.25">
      <c r="A102" s="139" t="s">
        <v>139</v>
      </c>
      <c r="B102" s="139" t="s">
        <v>361</v>
      </c>
      <c r="C102" s="139" t="s">
        <v>667</v>
      </c>
      <c r="D102" s="101" t="s">
        <v>100</v>
      </c>
      <c r="E102" s="190">
        <v>13.5</v>
      </c>
      <c r="F102" s="139" t="s">
        <v>4</v>
      </c>
      <c r="G102" s="6" t="s">
        <v>77</v>
      </c>
      <c r="H102" s="507"/>
      <c r="I102" s="5" t="s">
        <v>569</v>
      </c>
      <c r="J102" s="6"/>
      <c r="K102" s="5" t="s">
        <v>2033</v>
      </c>
      <c r="L102" s="12" t="s">
        <v>10</v>
      </c>
      <c r="M102" s="12" t="s">
        <v>7</v>
      </c>
      <c r="N102" s="150">
        <v>1750</v>
      </c>
      <c r="O102" s="22">
        <v>2125</v>
      </c>
      <c r="P102" s="49">
        <f t="shared" si="6"/>
        <v>3.71875</v>
      </c>
      <c r="Q102" s="13">
        <v>3.45</v>
      </c>
      <c r="R102" s="12">
        <v>1.1299999999999999</v>
      </c>
      <c r="S102" s="13">
        <v>17.45</v>
      </c>
      <c r="T102" s="12">
        <v>3</v>
      </c>
      <c r="U102" s="16">
        <f t="shared" si="8"/>
        <v>45.181249999999991</v>
      </c>
      <c r="V102" s="12"/>
      <c r="W102" s="12"/>
      <c r="X102" s="13"/>
      <c r="Y102" s="13"/>
    </row>
    <row r="103" spans="1:25" ht="30" x14ac:dyDescent="0.25">
      <c r="A103" s="139" t="s">
        <v>139</v>
      </c>
      <c r="B103" s="139" t="s">
        <v>361</v>
      </c>
      <c r="C103" s="139" t="s">
        <v>668</v>
      </c>
      <c r="D103" s="101" t="s">
        <v>101</v>
      </c>
      <c r="E103" s="190">
        <v>2.8</v>
      </c>
      <c r="F103" s="139" t="s">
        <v>4</v>
      </c>
      <c r="G103" s="6" t="s">
        <v>77</v>
      </c>
      <c r="H103" s="507"/>
      <c r="I103" s="5" t="s">
        <v>569</v>
      </c>
      <c r="J103" s="6"/>
      <c r="K103" s="5" t="s">
        <v>2033</v>
      </c>
      <c r="L103" s="12" t="s">
        <v>81</v>
      </c>
      <c r="M103" s="12" t="s">
        <v>7</v>
      </c>
      <c r="N103" s="150">
        <v>875</v>
      </c>
      <c r="O103" s="22">
        <v>2125</v>
      </c>
      <c r="P103" s="49">
        <f t="shared" si="6"/>
        <v>1.859375</v>
      </c>
      <c r="Q103" s="13"/>
      <c r="R103" s="12"/>
      <c r="S103" s="13">
        <v>6.8</v>
      </c>
      <c r="T103" s="12">
        <v>2.6</v>
      </c>
      <c r="U103" s="13"/>
      <c r="V103" s="12"/>
      <c r="W103" s="12"/>
      <c r="X103" s="47">
        <f>S103*T103-P103-Q103-Y103</f>
        <v>15.820625</v>
      </c>
      <c r="Y103" s="13"/>
    </row>
    <row r="104" spans="1:25" ht="30" x14ac:dyDescent="0.25">
      <c r="A104" s="139" t="s">
        <v>139</v>
      </c>
      <c r="B104" s="139" t="s">
        <v>361</v>
      </c>
      <c r="C104" s="139" t="s">
        <v>669</v>
      </c>
      <c r="D104" s="101" t="s">
        <v>100</v>
      </c>
      <c r="E104" s="190">
        <v>13.1</v>
      </c>
      <c r="F104" s="139" t="s">
        <v>4</v>
      </c>
      <c r="G104" s="6" t="s">
        <v>77</v>
      </c>
      <c r="H104" s="507"/>
      <c r="I104" s="5" t="s">
        <v>569</v>
      </c>
      <c r="J104" s="6"/>
      <c r="K104" s="5" t="s">
        <v>2033</v>
      </c>
      <c r="L104" s="12" t="s">
        <v>10</v>
      </c>
      <c r="M104" s="12" t="s">
        <v>7</v>
      </c>
      <c r="N104" s="150">
        <v>1750</v>
      </c>
      <c r="O104" s="22">
        <v>2125</v>
      </c>
      <c r="P104" s="49">
        <f t="shared" si="6"/>
        <v>3.71875</v>
      </c>
      <c r="Q104" s="13">
        <v>3.45</v>
      </c>
      <c r="R104" s="12">
        <v>1.1299999999999999</v>
      </c>
      <c r="S104" s="13">
        <v>17.3</v>
      </c>
      <c r="T104" s="12">
        <v>3</v>
      </c>
      <c r="U104" s="11">
        <f>S104*T104-P104-Q104-X104-Y104</f>
        <v>44.731250000000003</v>
      </c>
      <c r="V104" s="12"/>
      <c r="W104" s="12"/>
      <c r="X104" s="13"/>
      <c r="Y104" s="13"/>
    </row>
    <row r="105" spans="1:25" ht="30" x14ac:dyDescent="0.25">
      <c r="A105" s="139" t="s">
        <v>139</v>
      </c>
      <c r="B105" s="139" t="s">
        <v>361</v>
      </c>
      <c r="C105" s="139" t="s">
        <v>670</v>
      </c>
      <c r="D105" s="101" t="s">
        <v>101</v>
      </c>
      <c r="E105" s="190">
        <v>2.9</v>
      </c>
      <c r="F105" s="139" t="s">
        <v>4</v>
      </c>
      <c r="G105" s="6" t="s">
        <v>77</v>
      </c>
      <c r="H105" s="507"/>
      <c r="I105" s="5" t="s">
        <v>569</v>
      </c>
      <c r="J105" s="6"/>
      <c r="K105" s="5" t="s">
        <v>2033</v>
      </c>
      <c r="L105" s="12" t="s">
        <v>81</v>
      </c>
      <c r="M105" s="12" t="s">
        <v>7</v>
      </c>
      <c r="N105" s="150">
        <v>875</v>
      </c>
      <c r="O105" s="6">
        <v>2125</v>
      </c>
      <c r="P105" s="49">
        <f t="shared" si="6"/>
        <v>1.859375</v>
      </c>
      <c r="Q105" s="13"/>
      <c r="R105" s="12"/>
      <c r="S105" s="13">
        <v>6.8</v>
      </c>
      <c r="T105" s="12">
        <v>2.6</v>
      </c>
      <c r="U105" s="25"/>
      <c r="V105" s="12"/>
      <c r="W105" s="12"/>
      <c r="X105" s="47">
        <f>S105*T105-P105-Q105-Y105</f>
        <v>15.820625</v>
      </c>
      <c r="Y105" s="13"/>
    </row>
    <row r="106" spans="1:25" ht="30" x14ac:dyDescent="0.25">
      <c r="A106" s="139" t="s">
        <v>139</v>
      </c>
      <c r="B106" s="139" t="s">
        <v>361</v>
      </c>
      <c r="C106" s="139" t="s">
        <v>671</v>
      </c>
      <c r="D106" s="101" t="s">
        <v>672</v>
      </c>
      <c r="E106" s="190">
        <v>15.2</v>
      </c>
      <c r="F106" s="139" t="s">
        <v>4</v>
      </c>
      <c r="G106" s="6" t="s">
        <v>77</v>
      </c>
      <c r="H106" s="507"/>
      <c r="I106" s="5" t="s">
        <v>569</v>
      </c>
      <c r="J106" s="6"/>
      <c r="K106" s="5" t="s">
        <v>2033</v>
      </c>
      <c r="L106" s="12" t="s">
        <v>10</v>
      </c>
      <c r="M106" s="12" t="s">
        <v>7</v>
      </c>
      <c r="N106" s="150">
        <v>875</v>
      </c>
      <c r="O106" s="6">
        <v>2125</v>
      </c>
      <c r="P106" s="35">
        <f t="shared" si="6"/>
        <v>1.859375</v>
      </c>
      <c r="Q106" s="13">
        <v>3.45</v>
      </c>
      <c r="R106" s="12">
        <v>2.25</v>
      </c>
      <c r="S106" s="13">
        <v>17.649999999999999</v>
      </c>
      <c r="T106" s="12">
        <v>3</v>
      </c>
      <c r="U106" s="11">
        <f>S106*T106-P106-Q106-X106-Y106</f>
        <v>47.640624999999993</v>
      </c>
      <c r="V106" s="12"/>
      <c r="W106" s="12"/>
      <c r="X106" s="13"/>
      <c r="Y106" s="13"/>
    </row>
    <row r="107" spans="1:25" ht="30.75" thickBot="1" x14ac:dyDescent="0.3">
      <c r="A107" s="139" t="s">
        <v>139</v>
      </c>
      <c r="B107" s="139" t="s">
        <v>361</v>
      </c>
      <c r="C107" s="139" t="s">
        <v>673</v>
      </c>
      <c r="D107" s="101" t="s">
        <v>263</v>
      </c>
      <c r="E107" s="190">
        <v>36.1</v>
      </c>
      <c r="F107" s="139" t="s">
        <v>4</v>
      </c>
      <c r="G107" s="6" t="s">
        <v>77</v>
      </c>
      <c r="H107" s="507"/>
      <c r="I107" s="5" t="s">
        <v>569</v>
      </c>
      <c r="J107" s="6"/>
      <c r="K107" s="5" t="s">
        <v>2033</v>
      </c>
      <c r="L107" s="12" t="s">
        <v>10</v>
      </c>
      <c r="M107" s="196" t="s">
        <v>7</v>
      </c>
      <c r="N107" s="197">
        <v>1125</v>
      </c>
      <c r="O107" s="198">
        <v>2125</v>
      </c>
      <c r="P107" s="199">
        <f t="shared" si="6"/>
        <v>2.390625</v>
      </c>
      <c r="Q107" s="200">
        <v>6.9</v>
      </c>
      <c r="R107" s="196">
        <v>2.25</v>
      </c>
      <c r="S107" s="200">
        <v>24.7</v>
      </c>
      <c r="T107" s="196">
        <v>3</v>
      </c>
      <c r="U107" s="39">
        <f>S107*T107-P107-Q107-X107-Y107</f>
        <v>64.809374999999989</v>
      </c>
      <c r="V107" s="196"/>
      <c r="W107" s="196"/>
      <c r="X107" s="200"/>
      <c r="Y107" s="200"/>
    </row>
    <row r="108" spans="1:25" ht="30.75" thickTop="1" x14ac:dyDescent="0.25">
      <c r="A108" s="139" t="s">
        <v>139</v>
      </c>
      <c r="B108" s="139" t="s">
        <v>361</v>
      </c>
      <c r="C108" s="139" t="s">
        <v>674</v>
      </c>
      <c r="D108" s="101" t="s">
        <v>222</v>
      </c>
      <c r="E108" s="190">
        <v>15.6</v>
      </c>
      <c r="F108" s="139" t="s">
        <v>4</v>
      </c>
      <c r="G108" s="6" t="s">
        <v>77</v>
      </c>
      <c r="H108" s="507"/>
      <c r="I108" s="5" t="s">
        <v>569</v>
      </c>
      <c r="J108" s="6"/>
      <c r="K108" s="5" t="s">
        <v>2033</v>
      </c>
      <c r="L108" s="12" t="s">
        <v>10</v>
      </c>
      <c r="M108" s="12" t="s">
        <v>7</v>
      </c>
      <c r="N108" s="150">
        <v>1625</v>
      </c>
      <c r="O108" s="22">
        <v>2125</v>
      </c>
      <c r="P108" s="35">
        <f t="shared" si="6"/>
        <v>3.453125</v>
      </c>
      <c r="Q108" s="25">
        <v>3.45</v>
      </c>
      <c r="R108" s="24">
        <v>1.1299999999999999</v>
      </c>
      <c r="S108" s="13">
        <v>18.95</v>
      </c>
      <c r="T108" s="12">
        <v>3</v>
      </c>
      <c r="U108" s="11">
        <f>S108*T108-P108-Q108-X108-Y108</f>
        <v>49.946874999999991</v>
      </c>
      <c r="V108" s="12"/>
      <c r="W108" s="12"/>
      <c r="X108" s="25"/>
      <c r="Y108" s="13"/>
    </row>
    <row r="109" spans="1:25" ht="30" x14ac:dyDescent="0.25">
      <c r="A109" s="139" t="s">
        <v>139</v>
      </c>
      <c r="B109" s="139" t="s">
        <v>361</v>
      </c>
      <c r="C109" s="139" t="s">
        <v>675</v>
      </c>
      <c r="D109" s="101" t="s">
        <v>101</v>
      </c>
      <c r="E109" s="190">
        <v>3</v>
      </c>
      <c r="F109" s="139" t="s">
        <v>4</v>
      </c>
      <c r="G109" s="6" t="s">
        <v>77</v>
      </c>
      <c r="H109" s="507"/>
      <c r="I109" s="5" t="s">
        <v>569</v>
      </c>
      <c r="J109" s="6"/>
      <c r="K109" s="5" t="s">
        <v>2033</v>
      </c>
      <c r="L109" s="12" t="s">
        <v>81</v>
      </c>
      <c r="M109" s="12" t="s">
        <v>7</v>
      </c>
      <c r="N109" s="150">
        <v>750</v>
      </c>
      <c r="O109" s="22">
        <v>2125</v>
      </c>
      <c r="P109" s="35">
        <f t="shared" si="6"/>
        <v>1.59375</v>
      </c>
      <c r="Q109" s="13"/>
      <c r="R109" s="12"/>
      <c r="S109" s="13">
        <v>7.2</v>
      </c>
      <c r="T109" s="12">
        <v>2.6</v>
      </c>
      <c r="U109" s="25"/>
      <c r="V109" s="12"/>
      <c r="W109" s="12"/>
      <c r="X109" s="47">
        <f>S109*T109-P109-Q109-Y109</f>
        <v>17.126250000000002</v>
      </c>
      <c r="Y109" s="13"/>
    </row>
    <row r="110" spans="1:25" ht="30" x14ac:dyDescent="0.25">
      <c r="A110" s="139" t="s">
        <v>139</v>
      </c>
      <c r="B110" s="139" t="s">
        <v>361</v>
      </c>
      <c r="C110" s="139" t="s">
        <v>676</v>
      </c>
      <c r="D110" s="101" t="s">
        <v>677</v>
      </c>
      <c r="E110" s="190">
        <v>15.6</v>
      </c>
      <c r="F110" s="139" t="s">
        <v>4</v>
      </c>
      <c r="G110" s="6" t="s">
        <v>77</v>
      </c>
      <c r="H110" s="507"/>
      <c r="I110" s="5" t="s">
        <v>569</v>
      </c>
      <c r="J110" s="6"/>
      <c r="K110" s="5" t="s">
        <v>2033</v>
      </c>
      <c r="L110" s="12" t="s">
        <v>10</v>
      </c>
      <c r="M110" s="12" t="s">
        <v>7</v>
      </c>
      <c r="N110" s="150">
        <v>1625</v>
      </c>
      <c r="O110" s="22">
        <v>2125</v>
      </c>
      <c r="P110" s="35">
        <f t="shared" si="6"/>
        <v>3.453125</v>
      </c>
      <c r="Q110" s="13">
        <v>3.45</v>
      </c>
      <c r="R110" s="12">
        <v>1.1299999999999999</v>
      </c>
      <c r="S110" s="13">
        <v>18.95</v>
      </c>
      <c r="T110" s="12">
        <v>3</v>
      </c>
      <c r="U110" s="16">
        <f>S110*T110-P110-Q110-X110-Y110</f>
        <v>49.946874999999991</v>
      </c>
      <c r="V110" s="12"/>
      <c r="W110" s="12"/>
      <c r="X110" s="13"/>
      <c r="Y110" s="13"/>
    </row>
    <row r="111" spans="1:25" ht="30" x14ac:dyDescent="0.25">
      <c r="A111" s="139" t="s">
        <v>139</v>
      </c>
      <c r="B111" s="139" t="s">
        <v>361</v>
      </c>
      <c r="C111" s="139" t="s">
        <v>678</v>
      </c>
      <c r="D111" s="101" t="s">
        <v>101</v>
      </c>
      <c r="E111" s="190">
        <v>3</v>
      </c>
      <c r="F111" s="139" t="s">
        <v>4</v>
      </c>
      <c r="G111" s="6" t="s">
        <v>77</v>
      </c>
      <c r="H111" s="507"/>
      <c r="I111" s="5" t="s">
        <v>569</v>
      </c>
      <c r="J111" s="6"/>
      <c r="K111" s="5" t="s">
        <v>2033</v>
      </c>
      <c r="L111" s="12" t="s">
        <v>81</v>
      </c>
      <c r="M111" s="12" t="s">
        <v>7</v>
      </c>
      <c r="N111" s="150">
        <v>750</v>
      </c>
      <c r="O111" s="22">
        <v>2125</v>
      </c>
      <c r="P111" s="35">
        <f t="shared" si="6"/>
        <v>1.59375</v>
      </c>
      <c r="Q111" s="13"/>
      <c r="R111" s="12"/>
      <c r="S111" s="13">
        <v>7.2</v>
      </c>
      <c r="T111" s="12">
        <v>2.6</v>
      </c>
      <c r="U111" s="13"/>
      <c r="V111" s="12"/>
      <c r="W111" s="12"/>
      <c r="X111" s="47">
        <f>S111*T111-P111-Q111-Y111</f>
        <v>17.126250000000002</v>
      </c>
      <c r="Y111" s="13"/>
    </row>
    <row r="112" spans="1:25" ht="30" x14ac:dyDescent="0.25">
      <c r="A112" s="139" t="s">
        <v>139</v>
      </c>
      <c r="B112" s="139" t="s">
        <v>361</v>
      </c>
      <c r="C112" s="139" t="s">
        <v>679</v>
      </c>
      <c r="D112" s="101" t="s">
        <v>680</v>
      </c>
      <c r="E112" s="190">
        <v>5.6</v>
      </c>
      <c r="F112" s="139" t="s">
        <v>4</v>
      </c>
      <c r="G112" s="6" t="s">
        <v>77</v>
      </c>
      <c r="H112" s="507"/>
      <c r="I112" s="5" t="s">
        <v>1450</v>
      </c>
      <c r="J112" s="5" t="s">
        <v>194</v>
      </c>
      <c r="K112" s="5" t="s">
        <v>2033</v>
      </c>
      <c r="L112" s="12" t="s">
        <v>583</v>
      </c>
      <c r="M112" s="12" t="s">
        <v>7</v>
      </c>
      <c r="N112" s="150">
        <v>875</v>
      </c>
      <c r="O112" s="22">
        <v>2125</v>
      </c>
      <c r="P112" s="35">
        <f t="shared" si="6"/>
        <v>1.859375</v>
      </c>
      <c r="Q112" s="13"/>
      <c r="R112" s="12"/>
      <c r="S112" s="13">
        <v>9.8000000000000007</v>
      </c>
      <c r="T112" s="12">
        <v>3</v>
      </c>
      <c r="U112" s="25"/>
      <c r="V112" s="152">
        <f>S112*T112-P112-Q112-X112-Y112</f>
        <v>25.540625000000002</v>
      </c>
      <c r="W112" s="12"/>
      <c r="X112" s="13">
        <v>2</v>
      </c>
      <c r="Y112" s="13"/>
    </row>
    <row r="113" spans="1:25" ht="30" x14ac:dyDescent="0.25">
      <c r="A113" s="139" t="s">
        <v>139</v>
      </c>
      <c r="B113" s="139" t="s">
        <v>361</v>
      </c>
      <c r="C113" s="139" t="s">
        <v>681</v>
      </c>
      <c r="D113" s="101" t="s">
        <v>682</v>
      </c>
      <c r="E113" s="190">
        <v>6.7</v>
      </c>
      <c r="F113" s="139" t="s">
        <v>4</v>
      </c>
      <c r="G113" s="6" t="s">
        <v>77</v>
      </c>
      <c r="H113" s="507"/>
      <c r="I113" s="5" t="s">
        <v>1450</v>
      </c>
      <c r="J113" s="5" t="s">
        <v>194</v>
      </c>
      <c r="K113" s="5" t="s">
        <v>2033</v>
      </c>
      <c r="L113" s="12" t="s">
        <v>6</v>
      </c>
      <c r="M113" s="12" t="s">
        <v>7</v>
      </c>
      <c r="N113" s="150">
        <v>900</v>
      </c>
      <c r="O113" s="22">
        <v>2125</v>
      </c>
      <c r="P113" s="35">
        <f t="shared" si="6"/>
        <v>1.9124999999999999</v>
      </c>
      <c r="Q113" s="13"/>
      <c r="R113" s="12"/>
      <c r="S113" s="13">
        <v>11.55</v>
      </c>
      <c r="T113" s="12">
        <v>3</v>
      </c>
      <c r="U113" s="16">
        <f>S113*T113-P113-Q113-X113-Y113</f>
        <v>32.737500000000004</v>
      </c>
      <c r="V113" s="12"/>
      <c r="W113" s="12"/>
      <c r="X113" s="13"/>
      <c r="Y113" s="13"/>
    </row>
    <row r="114" spans="1:25" ht="30" x14ac:dyDescent="0.25">
      <c r="A114" s="139" t="s">
        <v>139</v>
      </c>
      <c r="B114" s="139" t="s">
        <v>361</v>
      </c>
      <c r="C114" s="139" t="s">
        <v>683</v>
      </c>
      <c r="D114" s="101" t="s">
        <v>140</v>
      </c>
      <c r="E114" s="190">
        <v>6.9</v>
      </c>
      <c r="F114" s="139" t="s">
        <v>4</v>
      </c>
      <c r="G114" s="6" t="s">
        <v>77</v>
      </c>
      <c r="H114" s="507"/>
      <c r="I114" s="5" t="s">
        <v>1450</v>
      </c>
      <c r="J114" s="5" t="s">
        <v>194</v>
      </c>
      <c r="K114" s="5" t="s">
        <v>2033</v>
      </c>
      <c r="L114" s="12" t="s">
        <v>81</v>
      </c>
      <c r="M114" s="12" t="s">
        <v>7</v>
      </c>
      <c r="N114" s="150">
        <v>1625</v>
      </c>
      <c r="O114" s="22">
        <v>2125</v>
      </c>
      <c r="P114" s="35">
        <f t="shared" si="6"/>
        <v>3.453125</v>
      </c>
      <c r="Q114" s="13"/>
      <c r="R114" s="12"/>
      <c r="S114" s="13">
        <v>10.48</v>
      </c>
      <c r="T114" s="12">
        <v>2.6</v>
      </c>
      <c r="U114" s="25"/>
      <c r="V114" s="12"/>
      <c r="W114" s="12"/>
      <c r="X114" s="47">
        <f>S114*T114-P114-Q114-Y114</f>
        <v>23.794875000000001</v>
      </c>
      <c r="Y114" s="13"/>
    </row>
    <row r="115" spans="1:25" ht="30" x14ac:dyDescent="0.25">
      <c r="A115" s="139" t="s">
        <v>139</v>
      </c>
      <c r="B115" s="139" t="s">
        <v>361</v>
      </c>
      <c r="C115" s="139" t="s">
        <v>684</v>
      </c>
      <c r="D115" s="101" t="s">
        <v>685</v>
      </c>
      <c r="E115" s="190">
        <v>0.9</v>
      </c>
      <c r="F115" s="139" t="s">
        <v>4</v>
      </c>
      <c r="G115" s="6" t="s">
        <v>77</v>
      </c>
      <c r="H115" s="507"/>
      <c r="I115" s="5" t="s">
        <v>1450</v>
      </c>
      <c r="J115" s="5" t="s">
        <v>194</v>
      </c>
      <c r="K115" s="5" t="s">
        <v>2033</v>
      </c>
      <c r="L115" s="12" t="s">
        <v>81</v>
      </c>
      <c r="M115" s="179" t="s">
        <v>7</v>
      </c>
      <c r="N115" s="150">
        <v>900</v>
      </c>
      <c r="O115" s="22">
        <v>2000</v>
      </c>
      <c r="P115" s="35">
        <f t="shared" si="6"/>
        <v>1.7999999999999998</v>
      </c>
      <c r="Q115" s="13"/>
      <c r="R115" s="12"/>
      <c r="S115" s="13">
        <v>0</v>
      </c>
      <c r="T115" s="12">
        <v>2.6</v>
      </c>
      <c r="U115" s="25"/>
      <c r="V115" s="12"/>
      <c r="W115" s="12"/>
      <c r="X115" s="13"/>
      <c r="Y115" s="13"/>
    </row>
    <row r="116" spans="1:25" ht="30" x14ac:dyDescent="0.25">
      <c r="A116" s="139" t="s">
        <v>139</v>
      </c>
      <c r="B116" s="139" t="s">
        <v>361</v>
      </c>
      <c r="C116" s="139" t="s">
        <v>686</v>
      </c>
      <c r="D116" s="101" t="s">
        <v>65</v>
      </c>
      <c r="E116" s="190">
        <v>1.5</v>
      </c>
      <c r="F116" s="139" t="s">
        <v>4</v>
      </c>
      <c r="G116" s="6" t="s">
        <v>77</v>
      </c>
      <c r="H116" s="507"/>
      <c r="I116" s="5" t="s">
        <v>1450</v>
      </c>
      <c r="J116" s="5" t="s">
        <v>194</v>
      </c>
      <c r="K116" s="5" t="s">
        <v>2033</v>
      </c>
      <c r="L116" s="12" t="s">
        <v>6</v>
      </c>
      <c r="M116" s="12" t="s">
        <v>7</v>
      </c>
      <c r="N116" s="150">
        <v>750</v>
      </c>
      <c r="O116" s="22">
        <v>2125</v>
      </c>
      <c r="P116" s="35">
        <f t="shared" si="6"/>
        <v>1.59375</v>
      </c>
      <c r="Q116" s="13"/>
      <c r="R116" s="12"/>
      <c r="S116" s="13">
        <v>5.03</v>
      </c>
      <c r="T116" s="12">
        <v>2.6</v>
      </c>
      <c r="U116" s="25"/>
      <c r="V116" s="12"/>
      <c r="W116" s="12"/>
      <c r="X116" s="47">
        <f>S116*T116-P116-Q116-Y116</f>
        <v>11.484250000000001</v>
      </c>
      <c r="Y116" s="13"/>
    </row>
    <row r="117" spans="1:25" ht="30" x14ac:dyDescent="0.25">
      <c r="A117" s="139" t="s">
        <v>139</v>
      </c>
      <c r="B117" s="139" t="s">
        <v>361</v>
      </c>
      <c r="C117" s="139" t="s">
        <v>687</v>
      </c>
      <c r="D117" s="101" t="s">
        <v>688</v>
      </c>
      <c r="E117" s="190">
        <v>4.5</v>
      </c>
      <c r="F117" s="139" t="s">
        <v>4</v>
      </c>
      <c r="G117" s="6" t="s">
        <v>77</v>
      </c>
      <c r="H117" s="507"/>
      <c r="I117" s="5" t="s">
        <v>1450</v>
      </c>
      <c r="J117" s="5" t="s">
        <v>194</v>
      </c>
      <c r="K117" s="5" t="s">
        <v>2033</v>
      </c>
      <c r="L117" s="12" t="s">
        <v>10</v>
      </c>
      <c r="M117" s="179" t="s">
        <v>7</v>
      </c>
      <c r="N117" s="150">
        <v>875</v>
      </c>
      <c r="O117" s="22">
        <v>2125</v>
      </c>
      <c r="P117" s="35">
        <f t="shared" si="6"/>
        <v>1.859375</v>
      </c>
      <c r="Q117" s="13"/>
      <c r="R117" s="12"/>
      <c r="S117" s="13">
        <v>7.78</v>
      </c>
      <c r="T117" s="12">
        <v>3</v>
      </c>
      <c r="U117" s="16">
        <f>S117*T117-P117-Q117-X117-Y117</f>
        <v>21.480625</v>
      </c>
      <c r="V117" s="12"/>
      <c r="W117" s="12"/>
      <c r="X117" s="13"/>
      <c r="Y117" s="13"/>
    </row>
    <row r="118" spans="1:25" ht="30" x14ac:dyDescent="0.25">
      <c r="A118" s="139" t="s">
        <v>139</v>
      </c>
      <c r="B118" s="139" t="s">
        <v>361</v>
      </c>
      <c r="C118" s="139" t="s">
        <v>689</v>
      </c>
      <c r="D118" s="101" t="s">
        <v>690</v>
      </c>
      <c r="E118" s="190">
        <v>4.5</v>
      </c>
      <c r="F118" s="139" t="s">
        <v>4</v>
      </c>
      <c r="G118" s="6" t="s">
        <v>77</v>
      </c>
      <c r="H118" s="507"/>
      <c r="I118" s="5" t="s">
        <v>1450</v>
      </c>
      <c r="J118" s="5" t="s">
        <v>194</v>
      </c>
      <c r="K118" s="5" t="s">
        <v>2033</v>
      </c>
      <c r="L118" s="12" t="s">
        <v>10</v>
      </c>
      <c r="M118" s="12"/>
      <c r="N118" s="150"/>
      <c r="O118" s="22"/>
      <c r="P118" s="35">
        <f t="shared" si="6"/>
        <v>0</v>
      </c>
      <c r="Q118" s="13"/>
      <c r="R118" s="12"/>
      <c r="S118" s="13">
        <v>7.04</v>
      </c>
      <c r="T118" s="12">
        <v>3</v>
      </c>
      <c r="U118" s="16">
        <f>S118*T118-P118-Q118-X118-Y118</f>
        <v>21.12</v>
      </c>
      <c r="V118" s="12"/>
      <c r="W118" s="12"/>
      <c r="X118" s="13"/>
      <c r="Y118" s="13"/>
    </row>
    <row r="119" spans="1:25" x14ac:dyDescent="0.25">
      <c r="A119" s="1" t="s">
        <v>139</v>
      </c>
      <c r="B119" s="1" t="s">
        <v>278</v>
      </c>
      <c r="C119" s="1" t="s">
        <v>691</v>
      </c>
      <c r="D119" s="1" t="s">
        <v>373</v>
      </c>
      <c r="E119" s="29">
        <v>11.1</v>
      </c>
      <c r="F119" s="1" t="s">
        <v>4</v>
      </c>
      <c r="G119" s="6" t="s">
        <v>77</v>
      </c>
      <c r="H119" s="507"/>
      <c r="I119" s="5"/>
      <c r="J119" s="6"/>
      <c r="K119" s="5" t="s">
        <v>1779</v>
      </c>
      <c r="L119" s="179" t="s">
        <v>10</v>
      </c>
      <c r="M119" s="12" t="s">
        <v>692</v>
      </c>
      <c r="N119" s="150">
        <v>2250</v>
      </c>
      <c r="O119" s="22">
        <v>2125</v>
      </c>
      <c r="P119" s="35">
        <f t="shared" si="6"/>
        <v>4.78125</v>
      </c>
      <c r="Q119" s="13"/>
      <c r="R119" s="12"/>
      <c r="S119" s="13">
        <v>13.96</v>
      </c>
      <c r="T119" s="12">
        <v>3</v>
      </c>
      <c r="U119" s="47">
        <f>S119*0.4</f>
        <v>5.5840000000000005</v>
      </c>
      <c r="V119" s="152"/>
      <c r="W119" s="152">
        <f>S119*T119-U119-Y119-P119-Q119</f>
        <v>31.514749999999999</v>
      </c>
      <c r="X119" s="47"/>
      <c r="Y119" s="13"/>
    </row>
    <row r="120" spans="1:25" x14ac:dyDescent="0.25">
      <c r="A120" s="1" t="s">
        <v>139</v>
      </c>
      <c r="B120" s="1" t="s">
        <v>278</v>
      </c>
      <c r="C120" s="1" t="s">
        <v>693</v>
      </c>
      <c r="D120" s="1" t="s">
        <v>374</v>
      </c>
      <c r="E120" s="29">
        <v>27.6</v>
      </c>
      <c r="F120" s="1" t="s">
        <v>4</v>
      </c>
      <c r="G120" s="6" t="s">
        <v>77</v>
      </c>
      <c r="H120" s="507"/>
      <c r="I120" s="5"/>
      <c r="J120" s="6"/>
      <c r="K120" s="5" t="s">
        <v>1779</v>
      </c>
      <c r="L120" s="179" t="s">
        <v>10</v>
      </c>
      <c r="M120" s="12" t="s">
        <v>7</v>
      </c>
      <c r="N120" s="150">
        <v>1125</v>
      </c>
      <c r="O120" s="22">
        <v>2125</v>
      </c>
      <c r="P120" s="35">
        <f t="shared" si="6"/>
        <v>2.390625</v>
      </c>
      <c r="Q120" s="13">
        <v>12.07</v>
      </c>
      <c r="R120" s="12">
        <v>1.95</v>
      </c>
      <c r="S120" s="13">
        <v>21.45</v>
      </c>
      <c r="T120" s="12">
        <v>3</v>
      </c>
      <c r="U120" s="47">
        <f>S120*0.4</f>
        <v>8.58</v>
      </c>
      <c r="V120" s="152"/>
      <c r="W120" s="152">
        <f>S120*T120-U120-Y120-P120-Q120</f>
        <v>41.309374999999996</v>
      </c>
      <c r="X120" s="47"/>
      <c r="Y120" s="13"/>
    </row>
    <row r="121" spans="1:25" x14ac:dyDescent="0.25">
      <c r="A121" s="1" t="s">
        <v>139</v>
      </c>
      <c r="B121" s="1" t="s">
        <v>278</v>
      </c>
      <c r="C121" s="1" t="s">
        <v>694</v>
      </c>
      <c r="D121" s="1" t="s">
        <v>101</v>
      </c>
      <c r="E121" s="29">
        <v>3.4</v>
      </c>
      <c r="F121" s="1" t="s">
        <v>4</v>
      </c>
      <c r="G121" s="6" t="s">
        <v>77</v>
      </c>
      <c r="H121" s="507"/>
      <c r="I121" s="5"/>
      <c r="J121" s="6"/>
      <c r="K121" s="5" t="s">
        <v>1779</v>
      </c>
      <c r="L121" s="179" t="s">
        <v>81</v>
      </c>
      <c r="M121" s="12" t="s">
        <v>7</v>
      </c>
      <c r="N121" s="150">
        <v>750</v>
      </c>
      <c r="O121" s="22">
        <v>2125</v>
      </c>
      <c r="P121" s="35">
        <f t="shared" si="6"/>
        <v>1.59375</v>
      </c>
      <c r="Q121" s="13"/>
      <c r="R121" s="12"/>
      <c r="S121" s="13">
        <v>7.51</v>
      </c>
      <c r="T121" s="12">
        <v>2.6</v>
      </c>
      <c r="U121" s="13"/>
      <c r="V121" s="12"/>
      <c r="W121" s="12"/>
      <c r="X121" s="47">
        <f>S121*T121-P121-Q121-Y121</f>
        <v>17.93225</v>
      </c>
      <c r="Y121" s="13"/>
    </row>
    <row r="122" spans="1:25" ht="17.25" x14ac:dyDescent="0.25">
      <c r="C122" s="280" t="s">
        <v>274</v>
      </c>
      <c r="E122" s="285">
        <f>SUM(E5:E121)</f>
        <v>1628.1599999999996</v>
      </c>
      <c r="F122" s="284" t="s">
        <v>1560</v>
      </c>
    </row>
    <row r="124" spans="1:25" x14ac:dyDescent="0.25">
      <c r="C124" s="278" t="s">
        <v>1807</v>
      </c>
      <c r="D124" s="342"/>
      <c r="E124" s="358"/>
      <c r="F124" s="65"/>
    </row>
    <row r="125" spans="1:25" ht="17.25" x14ac:dyDescent="0.25">
      <c r="C125" s="65"/>
      <c r="D125" s="358" t="s">
        <v>1808</v>
      </c>
      <c r="E125" s="345">
        <f>SUM(E5:E95)</f>
        <v>1251.0599999999997</v>
      </c>
      <c r="F125" s="342" t="s">
        <v>1560</v>
      </c>
    </row>
    <row r="126" spans="1:25" ht="17.25" x14ac:dyDescent="0.25">
      <c r="C126" s="65"/>
      <c r="D126" s="358" t="s">
        <v>37</v>
      </c>
      <c r="E126" s="345">
        <v>0</v>
      </c>
      <c r="F126" s="342" t="s">
        <v>1560</v>
      </c>
    </row>
    <row r="127" spans="1:25" ht="17.25" x14ac:dyDescent="0.25">
      <c r="C127" s="65"/>
      <c r="D127" s="358" t="s">
        <v>77</v>
      </c>
      <c r="E127" s="345">
        <f>SUM(E96:E121)</f>
        <v>377.1</v>
      </c>
      <c r="F127" s="342" t="s">
        <v>1560</v>
      </c>
    </row>
    <row r="128" spans="1:25" ht="17.25" x14ac:dyDescent="0.25">
      <c r="C128" s="65"/>
      <c r="D128" s="358" t="s">
        <v>229</v>
      </c>
      <c r="E128" s="345">
        <v>0</v>
      </c>
      <c r="F128" s="342" t="s">
        <v>1560</v>
      </c>
    </row>
    <row r="129" spans="3:6" ht="17.25" x14ac:dyDescent="0.25">
      <c r="C129" s="65"/>
      <c r="D129" s="359" t="s">
        <v>274</v>
      </c>
      <c r="E129" s="345">
        <f>SUM(E125:E128)</f>
        <v>1628.1599999999999</v>
      </c>
      <c r="F129" s="342" t="s">
        <v>1560</v>
      </c>
    </row>
    <row r="130" spans="3:6" x14ac:dyDescent="0.25">
      <c r="C130" s="65"/>
      <c r="D130" s="359"/>
      <c r="E130" s="345"/>
      <c r="F130" s="342"/>
    </row>
    <row r="131" spans="3:6" x14ac:dyDescent="0.25">
      <c r="C131" s="284" t="s">
        <v>1970</v>
      </c>
    </row>
    <row r="132" spans="3:6" x14ac:dyDescent="0.25">
      <c r="C132" s="504" t="s">
        <v>1968</v>
      </c>
      <c r="D132" s="305"/>
      <c r="E132" s="503" t="s">
        <v>1977</v>
      </c>
    </row>
    <row r="133" spans="3:6" x14ac:dyDescent="0.25">
      <c r="C133" s="504" t="s">
        <v>1969</v>
      </c>
      <c r="D133" s="305"/>
      <c r="E133" s="503" t="s">
        <v>1978</v>
      </c>
    </row>
    <row r="134" spans="3:6" x14ac:dyDescent="0.25">
      <c r="C134" s="284" t="s">
        <v>1964</v>
      </c>
      <c r="D134" s="305"/>
      <c r="E134" s="503" t="s">
        <v>2072</v>
      </c>
      <c r="F134" s="284"/>
    </row>
    <row r="135" spans="3:6" x14ac:dyDescent="0.25">
      <c r="C135" s="284" t="s">
        <v>2077</v>
      </c>
      <c r="D135" s="305"/>
      <c r="E135" s="295"/>
    </row>
  </sheetData>
  <sheetProtection password="87E5" sheet="1" objects="1" scenarios="1"/>
  <mergeCells count="26">
    <mergeCell ref="X3:X4"/>
    <mergeCell ref="Y1:Y4"/>
    <mergeCell ref="U3:U4"/>
    <mergeCell ref="V3:V4"/>
    <mergeCell ref="U1:X1"/>
    <mergeCell ref="W2:X2"/>
    <mergeCell ref="U2:V2"/>
    <mergeCell ref="W3:W4"/>
    <mergeCell ref="I1:I4"/>
    <mergeCell ref="J1:J4"/>
    <mergeCell ref="K1:K4"/>
    <mergeCell ref="L1:L4"/>
    <mergeCell ref="M1:O4"/>
    <mergeCell ref="P1:P4"/>
    <mergeCell ref="Q1:Q4"/>
    <mergeCell ref="R1:R4"/>
    <mergeCell ref="S1:S4"/>
    <mergeCell ref="T1:T4"/>
    <mergeCell ref="H1:H4"/>
    <mergeCell ref="A1:F2"/>
    <mergeCell ref="A3:A4"/>
    <mergeCell ref="B3:B4"/>
    <mergeCell ref="C3:C4"/>
    <mergeCell ref="D3:D4"/>
    <mergeCell ref="E3:F4"/>
    <mergeCell ref="G1:G4"/>
  </mergeCells>
  <dataValidations count="1">
    <dataValidation type="list" allowBlank="1" showInputMessage="1" showErrorMessage="1" sqref="G5:H23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64" fitToHeight="0" orientation="landscape" r:id="rId1"/>
  <headerFooter>
    <oddFooter>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8"/>
  <sheetViews>
    <sheetView zoomScale="80" zoomScaleNormal="80" workbookViewId="0">
      <pane xSplit="7" ySplit="4" topLeftCell="H14" activePane="bottomRight" state="frozen"/>
      <selection pane="topRight" activeCell="H1" sqref="H1"/>
      <selection pane="bottomLeft" activeCell="A5" sqref="A5"/>
      <selection pane="bottomRight" activeCell="I67" sqref="I67"/>
    </sheetView>
  </sheetViews>
  <sheetFormatPr defaultRowHeight="15" x14ac:dyDescent="0.25"/>
  <cols>
    <col min="1" max="1" width="5" bestFit="1" customWidth="1"/>
    <col min="2" max="2" width="7.140625" customWidth="1"/>
    <col min="3" max="3" width="11" bestFit="1" customWidth="1"/>
    <col min="4" max="4" width="20.85546875" customWidth="1"/>
    <col min="5" max="5" width="8.7109375" style="171" bestFit="1" customWidth="1"/>
    <col min="6" max="6" width="4.85546875" bestFit="1" customWidth="1"/>
    <col min="7" max="7" width="10.7109375" customWidth="1"/>
    <col min="8" max="8" width="16.5703125" style="137" customWidth="1"/>
    <col min="9" max="9" width="10.7109375" customWidth="1"/>
    <col min="10" max="10" width="16.140625" customWidth="1"/>
    <col min="11" max="11" width="22" style="64" customWidth="1"/>
    <col min="12" max="12" width="9.85546875" customWidth="1"/>
    <col min="13" max="13" width="7.85546875" customWidth="1"/>
    <col min="14" max="14" width="7.140625" customWidth="1"/>
    <col min="15" max="15" width="6" customWidth="1"/>
    <col min="16" max="16" width="7.5703125" customWidth="1"/>
    <col min="17" max="17" width="7.85546875" customWidth="1"/>
    <col min="18" max="18" width="8.42578125" customWidth="1"/>
    <col min="19" max="19" width="7.42578125" customWidth="1"/>
    <col min="20" max="20" width="7" customWidth="1"/>
    <col min="21" max="21" width="7.85546875" customWidth="1"/>
    <col min="22" max="22" width="6" customWidth="1"/>
    <col min="23" max="23" width="7.28515625" customWidth="1"/>
    <col min="24" max="24" width="8.140625" customWidth="1"/>
    <col min="25" max="25" width="9.5703125" customWidth="1"/>
  </cols>
  <sheetData>
    <row r="1" spans="1:30" x14ac:dyDescent="0.25">
      <c r="A1" s="642" t="s">
        <v>377</v>
      </c>
      <c r="B1" s="643"/>
      <c r="C1" s="643"/>
      <c r="D1" s="643"/>
      <c r="E1" s="643"/>
      <c r="F1" s="643"/>
      <c r="G1" s="621" t="s">
        <v>112</v>
      </c>
      <c r="H1" s="639" t="s">
        <v>1963</v>
      </c>
      <c r="I1" s="621" t="s">
        <v>113</v>
      </c>
      <c r="J1" s="621" t="s">
        <v>114</v>
      </c>
      <c r="K1" s="621" t="s">
        <v>115</v>
      </c>
      <c r="L1" s="621" t="s">
        <v>1561</v>
      </c>
      <c r="M1" s="651" t="s">
        <v>116</v>
      </c>
      <c r="N1" s="651"/>
      <c r="O1" s="651"/>
      <c r="P1" s="653" t="s">
        <v>117</v>
      </c>
      <c r="Q1" s="621" t="s">
        <v>118</v>
      </c>
      <c r="R1" s="621" t="s">
        <v>1563</v>
      </c>
      <c r="S1" s="621" t="s">
        <v>120</v>
      </c>
      <c r="T1" s="621" t="s">
        <v>121</v>
      </c>
      <c r="U1" s="621" t="s">
        <v>122</v>
      </c>
      <c r="V1" s="621"/>
      <c r="W1" s="621"/>
      <c r="X1" s="621"/>
      <c r="Y1" s="648" t="s">
        <v>1513</v>
      </c>
    </row>
    <row r="2" spans="1:30" ht="15" customHeight="1" x14ac:dyDescent="0.25">
      <c r="A2" s="644"/>
      <c r="B2" s="645"/>
      <c r="C2" s="645"/>
      <c r="D2" s="645"/>
      <c r="E2" s="645"/>
      <c r="F2" s="645"/>
      <c r="G2" s="619"/>
      <c r="H2" s="640"/>
      <c r="I2" s="619"/>
      <c r="J2" s="619"/>
      <c r="K2" s="619"/>
      <c r="L2" s="619"/>
      <c r="M2" s="625"/>
      <c r="N2" s="625"/>
      <c r="O2" s="625"/>
      <c r="P2" s="654"/>
      <c r="Q2" s="619"/>
      <c r="R2" s="619"/>
      <c r="S2" s="619"/>
      <c r="T2" s="619"/>
      <c r="U2" s="619" t="s">
        <v>127</v>
      </c>
      <c r="V2" s="619"/>
      <c r="W2" s="619" t="s">
        <v>128</v>
      </c>
      <c r="X2" s="619"/>
      <c r="Y2" s="649"/>
    </row>
    <row r="3" spans="1:30" s="163" customFormat="1" x14ac:dyDescent="0.25">
      <c r="A3" s="646" t="s">
        <v>129</v>
      </c>
      <c r="B3" s="625" t="s">
        <v>130</v>
      </c>
      <c r="C3" s="625" t="s">
        <v>131</v>
      </c>
      <c r="D3" s="625" t="s">
        <v>132</v>
      </c>
      <c r="E3" s="625" t="s">
        <v>133</v>
      </c>
      <c r="F3" s="625"/>
      <c r="G3" s="619"/>
      <c r="H3" s="640"/>
      <c r="I3" s="619"/>
      <c r="J3" s="619"/>
      <c r="K3" s="619"/>
      <c r="L3" s="619"/>
      <c r="M3" s="625"/>
      <c r="N3" s="625"/>
      <c r="O3" s="625"/>
      <c r="P3" s="654"/>
      <c r="Q3" s="619"/>
      <c r="R3" s="619"/>
      <c r="S3" s="619"/>
      <c r="T3" s="619"/>
      <c r="U3" s="619" t="s">
        <v>134</v>
      </c>
      <c r="V3" s="619" t="s">
        <v>135</v>
      </c>
      <c r="W3" s="619" t="s">
        <v>136</v>
      </c>
      <c r="X3" s="619" t="s">
        <v>137</v>
      </c>
      <c r="Y3" s="649"/>
    </row>
    <row r="4" spans="1:30" ht="15.75" thickBot="1" x14ac:dyDescent="0.3">
      <c r="A4" s="647"/>
      <c r="B4" s="626"/>
      <c r="C4" s="626"/>
      <c r="D4" s="626"/>
      <c r="E4" s="626"/>
      <c r="F4" s="626"/>
      <c r="G4" s="626"/>
      <c r="H4" s="641"/>
      <c r="I4" s="626"/>
      <c r="J4" s="626"/>
      <c r="K4" s="626"/>
      <c r="L4" s="626"/>
      <c r="M4" s="652"/>
      <c r="N4" s="652"/>
      <c r="O4" s="652"/>
      <c r="P4" s="655"/>
      <c r="Q4" s="620"/>
      <c r="R4" s="620"/>
      <c r="S4" s="620"/>
      <c r="T4" s="620"/>
      <c r="U4" s="620"/>
      <c r="V4" s="620"/>
      <c r="W4" s="620"/>
      <c r="X4" s="620"/>
      <c r="Y4" s="650"/>
    </row>
    <row r="5" spans="1:30" ht="30" x14ac:dyDescent="0.25">
      <c r="A5" s="44" t="s">
        <v>277</v>
      </c>
      <c r="B5" s="44" t="s">
        <v>278</v>
      </c>
      <c r="C5" s="44" t="s">
        <v>279</v>
      </c>
      <c r="D5" s="44" t="s">
        <v>280</v>
      </c>
      <c r="E5" s="176">
        <v>7</v>
      </c>
      <c r="F5" s="44" t="s">
        <v>4</v>
      </c>
      <c r="G5" s="22" t="s">
        <v>229</v>
      </c>
      <c r="H5" s="133"/>
      <c r="I5" s="22"/>
      <c r="J5" s="22" t="s">
        <v>194</v>
      </c>
      <c r="K5" s="21" t="s">
        <v>1449</v>
      </c>
      <c r="L5" s="44" t="s">
        <v>6</v>
      </c>
      <c r="M5" s="44" t="s">
        <v>7</v>
      </c>
      <c r="N5" s="339">
        <v>1750</v>
      </c>
      <c r="O5" s="339">
        <v>2125</v>
      </c>
      <c r="P5" s="61">
        <f t="shared" ref="P5:P63" si="0">N5*O5*0.000001</f>
        <v>3.71875</v>
      </c>
      <c r="Q5" s="61"/>
      <c r="R5" s="61"/>
      <c r="S5" s="61">
        <v>15.17</v>
      </c>
      <c r="T5" s="61">
        <v>2.2000000000000002</v>
      </c>
      <c r="U5" s="61">
        <f>S5*T5-P5</f>
        <v>29.655250000000002</v>
      </c>
      <c r="V5" s="61"/>
      <c r="W5" s="61"/>
      <c r="X5" s="61"/>
      <c r="Y5" s="61"/>
    </row>
    <row r="6" spans="1:30" ht="30" x14ac:dyDescent="0.25">
      <c r="A6" s="1" t="s">
        <v>277</v>
      </c>
      <c r="B6" s="1" t="s">
        <v>278</v>
      </c>
      <c r="C6" s="1" t="s">
        <v>281</v>
      </c>
      <c r="D6" s="1" t="s">
        <v>282</v>
      </c>
      <c r="E6" s="164">
        <v>4</v>
      </c>
      <c r="F6" s="1" t="s">
        <v>4</v>
      </c>
      <c r="G6" s="6" t="s">
        <v>229</v>
      </c>
      <c r="H6" s="260"/>
      <c r="I6" s="6"/>
      <c r="J6" s="6" t="s">
        <v>194</v>
      </c>
      <c r="K6" s="21" t="s">
        <v>1449</v>
      </c>
      <c r="L6" s="1" t="s">
        <v>6</v>
      </c>
      <c r="M6" s="1" t="s">
        <v>7</v>
      </c>
      <c r="N6" s="296">
        <v>1750</v>
      </c>
      <c r="O6" s="296">
        <v>2125</v>
      </c>
      <c r="P6" s="259">
        <f t="shared" si="0"/>
        <v>3.71875</v>
      </c>
      <c r="Q6" s="259"/>
      <c r="R6" s="259"/>
      <c r="S6" s="259">
        <v>9.67</v>
      </c>
      <c r="T6" s="259">
        <v>2.2000000000000002</v>
      </c>
      <c r="U6" s="259">
        <f>S6*T6-P6</f>
        <v>17.555250000000001</v>
      </c>
      <c r="V6" s="259"/>
      <c r="W6" s="259"/>
      <c r="X6" s="259"/>
      <c r="Y6" s="259"/>
    </row>
    <row r="7" spans="1:30" ht="30" x14ac:dyDescent="0.25">
      <c r="A7" s="1" t="s">
        <v>277</v>
      </c>
      <c r="B7" s="1" t="s">
        <v>278</v>
      </c>
      <c r="C7" s="1" t="s">
        <v>283</v>
      </c>
      <c r="D7" s="1" t="s">
        <v>284</v>
      </c>
      <c r="E7" s="164">
        <v>8.11</v>
      </c>
      <c r="F7" s="1" t="s">
        <v>4</v>
      </c>
      <c r="G7" s="6" t="s">
        <v>229</v>
      </c>
      <c r="H7" s="273"/>
      <c r="I7" s="6"/>
      <c r="J7" s="6" t="s">
        <v>194</v>
      </c>
      <c r="K7" s="21" t="s">
        <v>1449</v>
      </c>
      <c r="L7" s="1" t="s">
        <v>6</v>
      </c>
      <c r="M7" s="1" t="s">
        <v>7</v>
      </c>
      <c r="N7" s="296">
        <v>875</v>
      </c>
      <c r="O7" s="296">
        <v>2125</v>
      </c>
      <c r="P7" s="259">
        <f t="shared" si="0"/>
        <v>1.859375</v>
      </c>
      <c r="Q7" s="259"/>
      <c r="R7" s="259"/>
      <c r="S7" s="259">
        <v>14.85</v>
      </c>
      <c r="T7" s="259">
        <v>2.6</v>
      </c>
      <c r="U7" s="259">
        <f>S7*T7-P7</f>
        <v>36.750624999999999</v>
      </c>
      <c r="V7" s="259"/>
      <c r="W7" s="259"/>
      <c r="X7" s="259"/>
      <c r="Y7" s="259"/>
    </row>
    <row r="8" spans="1:30" ht="30" x14ac:dyDescent="0.25">
      <c r="A8" s="139" t="s">
        <v>277</v>
      </c>
      <c r="B8" s="139" t="s">
        <v>228</v>
      </c>
      <c r="C8" s="139" t="s">
        <v>285</v>
      </c>
      <c r="D8" s="139" t="s">
        <v>286</v>
      </c>
      <c r="E8" s="165">
        <v>14.9</v>
      </c>
      <c r="F8" s="139" t="s">
        <v>4</v>
      </c>
      <c r="G8" s="6" t="s">
        <v>229</v>
      </c>
      <c r="H8" s="138"/>
      <c r="I8" s="6"/>
      <c r="J8" s="6" t="s">
        <v>194</v>
      </c>
      <c r="K8" s="21" t="s">
        <v>1449</v>
      </c>
      <c r="L8" s="139" t="s">
        <v>6</v>
      </c>
      <c r="M8" s="139" t="s">
        <v>7</v>
      </c>
      <c r="N8" s="337">
        <v>1500</v>
      </c>
      <c r="O8" s="337">
        <v>2125</v>
      </c>
      <c r="P8" s="292">
        <f t="shared" si="0"/>
        <v>3.1875</v>
      </c>
      <c r="Q8" s="292"/>
      <c r="R8" s="292"/>
      <c r="S8" s="292">
        <v>16.25</v>
      </c>
      <c r="T8" s="292">
        <v>3.3</v>
      </c>
      <c r="U8" s="292">
        <f>S8*T8-P8-3.68</f>
        <v>46.7575</v>
      </c>
      <c r="V8" s="292"/>
      <c r="W8" s="292"/>
      <c r="X8" s="292"/>
      <c r="Y8" s="292"/>
    </row>
    <row r="9" spans="1:30" ht="30" x14ac:dyDescent="0.25">
      <c r="A9" s="139" t="s">
        <v>277</v>
      </c>
      <c r="B9" s="139" t="s">
        <v>228</v>
      </c>
      <c r="C9" s="139" t="s">
        <v>287</v>
      </c>
      <c r="D9" s="139" t="s">
        <v>288</v>
      </c>
      <c r="E9" s="165">
        <v>70.2</v>
      </c>
      <c r="F9" s="139" t="s">
        <v>4</v>
      </c>
      <c r="G9" s="6" t="s">
        <v>229</v>
      </c>
      <c r="H9" s="133"/>
      <c r="I9" s="6"/>
      <c r="J9" s="6" t="s">
        <v>194</v>
      </c>
      <c r="K9" s="21" t="s">
        <v>1449</v>
      </c>
      <c r="L9" s="139" t="s">
        <v>6</v>
      </c>
      <c r="M9" s="139" t="s">
        <v>7</v>
      </c>
      <c r="N9" s="337"/>
      <c r="O9" s="337"/>
      <c r="P9" s="292">
        <f t="shared" si="0"/>
        <v>0</v>
      </c>
      <c r="Q9" s="292"/>
      <c r="R9" s="292"/>
      <c r="S9" s="292">
        <v>35.75</v>
      </c>
      <c r="T9" s="292">
        <v>1.9</v>
      </c>
      <c r="U9" s="292">
        <f>S9*T9-P9-7.36</f>
        <v>60.564999999999998</v>
      </c>
      <c r="V9" s="292"/>
      <c r="W9" s="292"/>
      <c r="X9" s="292"/>
      <c r="Y9" s="292"/>
    </row>
    <row r="10" spans="1:30" ht="30" x14ac:dyDescent="0.25">
      <c r="A10" s="139" t="s">
        <v>277</v>
      </c>
      <c r="B10" s="139" t="s">
        <v>228</v>
      </c>
      <c r="C10" s="139" t="s">
        <v>289</v>
      </c>
      <c r="D10" s="139" t="s">
        <v>290</v>
      </c>
      <c r="E10" s="165">
        <v>19.5</v>
      </c>
      <c r="F10" s="139" t="s">
        <v>4</v>
      </c>
      <c r="G10" s="6" t="s">
        <v>229</v>
      </c>
      <c r="H10" s="260"/>
      <c r="I10" s="6"/>
      <c r="J10" s="6" t="s">
        <v>194</v>
      </c>
      <c r="K10" s="21" t="s">
        <v>1449</v>
      </c>
      <c r="L10" s="139" t="s">
        <v>6</v>
      </c>
      <c r="M10" s="139" t="s">
        <v>7</v>
      </c>
      <c r="N10" s="337">
        <v>1500</v>
      </c>
      <c r="O10" s="337">
        <v>2125</v>
      </c>
      <c r="P10" s="292">
        <f t="shared" si="0"/>
        <v>3.1875</v>
      </c>
      <c r="Q10" s="292"/>
      <c r="R10" s="292"/>
      <c r="S10" s="292">
        <v>18.3</v>
      </c>
      <c r="T10" s="292">
        <v>3.3</v>
      </c>
      <c r="U10" s="292">
        <f>S10*T10-P10-3.68</f>
        <v>53.522500000000001</v>
      </c>
      <c r="V10" s="292"/>
      <c r="W10" s="292"/>
      <c r="X10" s="292"/>
      <c r="Y10" s="292"/>
    </row>
    <row r="11" spans="1:30" s="15" customFormat="1" ht="45" x14ac:dyDescent="0.25">
      <c r="A11" s="1" t="s">
        <v>0</v>
      </c>
      <c r="B11" s="1" t="s">
        <v>278</v>
      </c>
      <c r="C11" s="1" t="s">
        <v>291</v>
      </c>
      <c r="D11" s="28" t="s">
        <v>34</v>
      </c>
      <c r="E11" s="164">
        <v>12.5</v>
      </c>
      <c r="F11" s="1" t="s">
        <v>4</v>
      </c>
      <c r="G11" s="5" t="s">
        <v>5</v>
      </c>
      <c r="H11" s="260"/>
      <c r="I11" s="6"/>
      <c r="J11" s="142" t="s">
        <v>292</v>
      </c>
      <c r="K11" s="21" t="s">
        <v>1449</v>
      </c>
      <c r="L11" s="6" t="s">
        <v>10</v>
      </c>
      <c r="M11" s="6" t="s">
        <v>7</v>
      </c>
      <c r="N11" s="31">
        <v>1125</v>
      </c>
      <c r="O11" s="31">
        <v>2125</v>
      </c>
      <c r="P11" s="16">
        <f t="shared" si="0"/>
        <v>2.390625</v>
      </c>
      <c r="Q11" s="13"/>
      <c r="R11" s="13"/>
      <c r="S11" s="13">
        <v>14.17</v>
      </c>
      <c r="T11" s="13">
        <v>2.6</v>
      </c>
      <c r="U11" s="16">
        <f>S11*T11-P11-Q11-X11-Y11</f>
        <v>34.451374999999999</v>
      </c>
      <c r="V11" s="13"/>
      <c r="W11" s="13"/>
      <c r="X11" s="13"/>
      <c r="Y11" s="13"/>
      <c r="Z11" s="14"/>
      <c r="AA11"/>
      <c r="AB11"/>
      <c r="AC11"/>
      <c r="AD11"/>
    </row>
    <row r="12" spans="1:30" s="15" customFormat="1" ht="45" x14ac:dyDescent="0.25">
      <c r="A12" s="139" t="s">
        <v>0</v>
      </c>
      <c r="B12" s="139" t="s">
        <v>228</v>
      </c>
      <c r="C12" s="139" t="s">
        <v>293</v>
      </c>
      <c r="D12" s="101" t="s">
        <v>294</v>
      </c>
      <c r="E12" s="165">
        <v>161.30000000000001</v>
      </c>
      <c r="F12" s="139" t="s">
        <v>4</v>
      </c>
      <c r="G12" s="5" t="s">
        <v>5</v>
      </c>
      <c r="H12" s="260"/>
      <c r="I12" s="6"/>
      <c r="J12" s="142" t="s">
        <v>292</v>
      </c>
      <c r="K12" s="21" t="s">
        <v>1449</v>
      </c>
      <c r="L12" s="6" t="s">
        <v>6</v>
      </c>
      <c r="M12" s="6" t="s">
        <v>7</v>
      </c>
      <c r="N12" s="31">
        <v>28375</v>
      </c>
      <c r="O12" s="31">
        <v>2125</v>
      </c>
      <c r="P12" s="16">
        <f t="shared" si="0"/>
        <v>60.296875</v>
      </c>
      <c r="Q12" s="13">
        <v>7.59</v>
      </c>
      <c r="R12" s="13"/>
      <c r="S12" s="13">
        <v>108.92</v>
      </c>
      <c r="T12" s="13">
        <v>2.7</v>
      </c>
      <c r="U12" s="16">
        <f>S12*T12-P12-Q12-X12-Y12</f>
        <v>226.197125</v>
      </c>
      <c r="V12" s="13"/>
      <c r="W12" s="13"/>
      <c r="X12" s="13"/>
      <c r="Y12" s="13"/>
      <c r="Z12" s="14"/>
      <c r="AA12"/>
      <c r="AB12"/>
      <c r="AC12"/>
      <c r="AD12"/>
    </row>
    <row r="13" spans="1:30" s="15" customFormat="1" ht="45" x14ac:dyDescent="0.25">
      <c r="A13" s="139" t="s">
        <v>0</v>
      </c>
      <c r="B13" s="139" t="s">
        <v>228</v>
      </c>
      <c r="C13" s="143" t="s">
        <v>295</v>
      </c>
      <c r="D13" s="101" t="s">
        <v>223</v>
      </c>
      <c r="E13" s="165">
        <v>1.8</v>
      </c>
      <c r="F13" s="139" t="s">
        <v>4</v>
      </c>
      <c r="G13" s="5" t="s">
        <v>5</v>
      </c>
      <c r="H13" s="260"/>
      <c r="I13" s="6"/>
      <c r="J13" s="142" t="s">
        <v>292</v>
      </c>
      <c r="K13" s="21" t="s">
        <v>1449</v>
      </c>
      <c r="L13" s="6" t="s">
        <v>6</v>
      </c>
      <c r="M13" s="6" t="s">
        <v>7</v>
      </c>
      <c r="N13" s="31">
        <v>875</v>
      </c>
      <c r="O13" s="31">
        <v>2125</v>
      </c>
      <c r="P13" s="16">
        <f t="shared" si="0"/>
        <v>1.859375</v>
      </c>
      <c r="Q13" s="13"/>
      <c r="R13" s="13"/>
      <c r="S13" s="13">
        <v>5.4</v>
      </c>
      <c r="T13" s="13">
        <v>2.6</v>
      </c>
      <c r="U13" s="13">
        <f>S13*T13-P13-Q13-X13-Y13</f>
        <v>2.6781249999999996</v>
      </c>
      <c r="V13" s="13"/>
      <c r="W13" s="13"/>
      <c r="X13" s="13">
        <f>(S13-N13/1000)*2.1</f>
        <v>9.5025000000000013</v>
      </c>
      <c r="Y13" s="13"/>
      <c r="Z13" s="14"/>
      <c r="AA13"/>
      <c r="AB13"/>
      <c r="AC13"/>
      <c r="AD13"/>
    </row>
    <row r="14" spans="1:30" s="15" customFormat="1" ht="45" x14ac:dyDescent="0.25">
      <c r="A14" s="139" t="s">
        <v>0</v>
      </c>
      <c r="B14" s="139" t="s">
        <v>228</v>
      </c>
      <c r="C14" s="139" t="s">
        <v>296</v>
      </c>
      <c r="D14" s="101" t="s">
        <v>224</v>
      </c>
      <c r="E14" s="165">
        <v>1.6</v>
      </c>
      <c r="F14" s="139" t="s">
        <v>4</v>
      </c>
      <c r="G14" s="5" t="s">
        <v>5</v>
      </c>
      <c r="H14" s="260"/>
      <c r="I14" s="6"/>
      <c r="J14" s="142" t="s">
        <v>292</v>
      </c>
      <c r="K14" s="21" t="s">
        <v>1449</v>
      </c>
      <c r="L14" s="6" t="s">
        <v>6</v>
      </c>
      <c r="M14" s="6" t="s">
        <v>7</v>
      </c>
      <c r="N14" s="31">
        <v>875</v>
      </c>
      <c r="O14" s="31">
        <v>2125</v>
      </c>
      <c r="P14" s="16">
        <f t="shared" si="0"/>
        <v>1.859375</v>
      </c>
      <c r="Q14" s="13"/>
      <c r="R14" s="13"/>
      <c r="S14" s="13">
        <v>5</v>
      </c>
      <c r="T14" s="13">
        <v>2.6</v>
      </c>
      <c r="U14" s="13"/>
      <c r="V14" s="13"/>
      <c r="W14" s="13"/>
      <c r="X14" s="47">
        <f>S14*T14-P14-Q14-Y14</f>
        <v>11.140625</v>
      </c>
      <c r="Y14" s="13"/>
      <c r="Z14" s="14"/>
      <c r="AA14"/>
      <c r="AB14"/>
      <c r="AC14"/>
      <c r="AD14"/>
    </row>
    <row r="15" spans="1:30" s="15" customFormat="1" ht="45" x14ac:dyDescent="0.25">
      <c r="A15" s="139" t="s">
        <v>0</v>
      </c>
      <c r="B15" s="139" t="s">
        <v>228</v>
      </c>
      <c r="C15" s="139" t="s">
        <v>297</v>
      </c>
      <c r="D15" s="101" t="s">
        <v>298</v>
      </c>
      <c r="E15" s="165">
        <v>21.4</v>
      </c>
      <c r="F15" s="139" t="s">
        <v>4</v>
      </c>
      <c r="G15" s="5" t="s">
        <v>5</v>
      </c>
      <c r="H15" s="260"/>
      <c r="I15" s="6"/>
      <c r="J15" s="142" t="s">
        <v>292</v>
      </c>
      <c r="K15" s="21" t="s">
        <v>1449</v>
      </c>
      <c r="L15" s="6" t="s">
        <v>6</v>
      </c>
      <c r="M15" s="6" t="s">
        <v>7</v>
      </c>
      <c r="N15" s="31">
        <v>1500</v>
      </c>
      <c r="O15" s="31">
        <v>2125</v>
      </c>
      <c r="P15" s="16">
        <f t="shared" si="0"/>
        <v>3.1875</v>
      </c>
      <c r="Q15" s="13">
        <v>3.56</v>
      </c>
      <c r="R15" s="13">
        <v>1.18</v>
      </c>
      <c r="S15" s="13">
        <v>19.399999999999999</v>
      </c>
      <c r="T15" s="13">
        <v>3</v>
      </c>
      <c r="U15" s="16">
        <f t="shared" ref="U15:U26" si="1">S15*T15-P15-Q15-X15-Y15</f>
        <v>47.952499999999993</v>
      </c>
      <c r="V15" s="13"/>
      <c r="W15" s="13"/>
      <c r="X15" s="13">
        <v>3.5</v>
      </c>
      <c r="Y15" s="13"/>
      <c r="Z15" s="14"/>
      <c r="AA15"/>
      <c r="AB15"/>
      <c r="AC15"/>
      <c r="AD15"/>
    </row>
    <row r="16" spans="1:30" s="15" customFormat="1" ht="45" x14ac:dyDescent="0.25">
      <c r="A16" s="139" t="s">
        <v>0</v>
      </c>
      <c r="B16" s="139" t="s">
        <v>228</v>
      </c>
      <c r="C16" s="139" t="s">
        <v>299</v>
      </c>
      <c r="D16" s="101" t="s">
        <v>17</v>
      </c>
      <c r="E16" s="165">
        <v>15.3</v>
      </c>
      <c r="F16" s="139" t="s">
        <v>4</v>
      </c>
      <c r="G16" s="5" t="s">
        <v>5</v>
      </c>
      <c r="H16" s="260"/>
      <c r="I16" s="6"/>
      <c r="J16" s="142" t="s">
        <v>292</v>
      </c>
      <c r="K16" s="21" t="s">
        <v>1449</v>
      </c>
      <c r="L16" s="6" t="s">
        <v>10</v>
      </c>
      <c r="M16" s="6" t="s">
        <v>7</v>
      </c>
      <c r="N16" s="31">
        <v>5200</v>
      </c>
      <c r="O16" s="31">
        <v>2125</v>
      </c>
      <c r="P16" s="16">
        <f t="shared" si="0"/>
        <v>11.049999999999999</v>
      </c>
      <c r="Q16" s="13">
        <v>3.56</v>
      </c>
      <c r="R16" s="13">
        <v>1.18</v>
      </c>
      <c r="S16" s="13">
        <v>17.8</v>
      </c>
      <c r="T16" s="13">
        <v>3</v>
      </c>
      <c r="U16" s="16">
        <f t="shared" si="1"/>
        <v>35.290000000000006</v>
      </c>
      <c r="V16" s="13"/>
      <c r="W16" s="13"/>
      <c r="X16" s="13">
        <v>3.5</v>
      </c>
      <c r="Y16" s="13"/>
      <c r="Z16" s="14"/>
      <c r="AA16"/>
      <c r="AB16"/>
      <c r="AC16"/>
      <c r="AD16"/>
    </row>
    <row r="17" spans="1:30" s="15" customFormat="1" ht="45" x14ac:dyDescent="0.25">
      <c r="A17" s="139" t="s">
        <v>0</v>
      </c>
      <c r="B17" s="139" t="s">
        <v>228</v>
      </c>
      <c r="C17" s="139" t="s">
        <v>300</v>
      </c>
      <c r="D17" s="101" t="s">
        <v>32</v>
      </c>
      <c r="E17" s="165">
        <v>17.100000000000001</v>
      </c>
      <c r="F17" s="139" t="s">
        <v>4</v>
      </c>
      <c r="G17" s="5" t="s">
        <v>5</v>
      </c>
      <c r="H17" s="260"/>
      <c r="I17" s="6"/>
      <c r="J17" s="142" t="s">
        <v>292</v>
      </c>
      <c r="K17" s="21" t="s">
        <v>1449</v>
      </c>
      <c r="L17" s="6" t="s">
        <v>10</v>
      </c>
      <c r="M17" s="6" t="s">
        <v>7</v>
      </c>
      <c r="N17" s="31">
        <v>2875</v>
      </c>
      <c r="O17" s="31">
        <v>2125</v>
      </c>
      <c r="P17" s="16">
        <f t="shared" si="0"/>
        <v>6.109375</v>
      </c>
      <c r="Q17" s="13">
        <v>2.64</v>
      </c>
      <c r="R17" s="13">
        <v>0.86</v>
      </c>
      <c r="S17" s="13">
        <v>18.64</v>
      </c>
      <c r="T17" s="13">
        <v>3</v>
      </c>
      <c r="U17" s="16">
        <f t="shared" si="1"/>
        <v>45.170625000000001</v>
      </c>
      <c r="V17" s="13"/>
      <c r="W17" s="13"/>
      <c r="X17" s="13">
        <v>2</v>
      </c>
      <c r="Y17" s="13"/>
      <c r="Z17" s="14"/>
      <c r="AA17"/>
      <c r="AB17"/>
      <c r="AC17"/>
      <c r="AD17"/>
    </row>
    <row r="18" spans="1:30" s="15" customFormat="1" ht="45" x14ac:dyDescent="0.25">
      <c r="A18" s="139" t="s">
        <v>0</v>
      </c>
      <c r="B18" s="139" t="s">
        <v>228</v>
      </c>
      <c r="C18" s="139" t="s">
        <v>301</v>
      </c>
      <c r="D18" s="101" t="s">
        <v>17</v>
      </c>
      <c r="E18" s="165">
        <v>20.3</v>
      </c>
      <c r="F18" s="139" t="s">
        <v>4</v>
      </c>
      <c r="G18" s="5" t="s">
        <v>5</v>
      </c>
      <c r="H18" s="260"/>
      <c r="I18" s="6"/>
      <c r="J18" s="142" t="s">
        <v>292</v>
      </c>
      <c r="K18" s="21" t="s">
        <v>1449</v>
      </c>
      <c r="L18" s="6" t="s">
        <v>10</v>
      </c>
      <c r="M18" s="6" t="s">
        <v>7</v>
      </c>
      <c r="N18" s="31">
        <v>6075</v>
      </c>
      <c r="O18" s="31">
        <v>2125</v>
      </c>
      <c r="P18" s="16">
        <f t="shared" si="0"/>
        <v>12.909374999999999</v>
      </c>
      <c r="Q18" s="13">
        <v>3.56</v>
      </c>
      <c r="R18" s="13">
        <v>1.18</v>
      </c>
      <c r="S18" s="13">
        <v>19.45</v>
      </c>
      <c r="T18" s="13">
        <v>3</v>
      </c>
      <c r="U18" s="16">
        <f t="shared" si="1"/>
        <v>38.380624999999995</v>
      </c>
      <c r="V18" s="13"/>
      <c r="W18" s="13"/>
      <c r="X18" s="13">
        <v>3.5</v>
      </c>
      <c r="Y18" s="13"/>
      <c r="Z18" s="14"/>
      <c r="AA18"/>
      <c r="AB18"/>
      <c r="AC18"/>
      <c r="AD18"/>
    </row>
    <row r="19" spans="1:30" s="15" customFormat="1" ht="45" x14ac:dyDescent="0.25">
      <c r="A19" s="139" t="s">
        <v>0</v>
      </c>
      <c r="B19" s="139" t="s">
        <v>228</v>
      </c>
      <c r="C19" s="139" t="s">
        <v>302</v>
      </c>
      <c r="D19" s="101" t="s">
        <v>303</v>
      </c>
      <c r="E19" s="165">
        <v>21.5</v>
      </c>
      <c r="F19" s="139" t="s">
        <v>4</v>
      </c>
      <c r="G19" s="5" t="s">
        <v>5</v>
      </c>
      <c r="H19" s="260"/>
      <c r="I19" s="6"/>
      <c r="J19" s="142" t="s">
        <v>292</v>
      </c>
      <c r="K19" s="21" t="s">
        <v>1449</v>
      </c>
      <c r="L19" s="6" t="s">
        <v>10</v>
      </c>
      <c r="M19" s="6" t="s">
        <v>7</v>
      </c>
      <c r="N19" s="31">
        <v>5200</v>
      </c>
      <c r="O19" s="31">
        <v>2125</v>
      </c>
      <c r="P19" s="16">
        <f t="shared" si="0"/>
        <v>11.049999999999999</v>
      </c>
      <c r="Q19" s="13">
        <v>3.56</v>
      </c>
      <c r="R19" s="13">
        <v>1.18</v>
      </c>
      <c r="S19" s="13">
        <v>20</v>
      </c>
      <c r="T19" s="13">
        <v>3</v>
      </c>
      <c r="U19" s="16">
        <f t="shared" si="1"/>
        <v>41.89</v>
      </c>
      <c r="V19" s="13"/>
      <c r="W19" s="13"/>
      <c r="X19" s="13">
        <v>3.5</v>
      </c>
      <c r="Y19" s="13"/>
      <c r="Z19" s="14"/>
      <c r="AA19"/>
      <c r="AB19"/>
      <c r="AC19"/>
      <c r="AD19"/>
    </row>
    <row r="20" spans="1:30" s="15" customFormat="1" ht="45" x14ac:dyDescent="0.25">
      <c r="A20" s="139" t="s">
        <v>0</v>
      </c>
      <c r="B20" s="139" t="s">
        <v>228</v>
      </c>
      <c r="C20" s="139" t="s">
        <v>304</v>
      </c>
      <c r="D20" s="101" t="s">
        <v>17</v>
      </c>
      <c r="E20" s="165">
        <v>16.399999999999999</v>
      </c>
      <c r="F20" s="139" t="s">
        <v>4</v>
      </c>
      <c r="G20" s="5" t="s">
        <v>5</v>
      </c>
      <c r="H20" s="260"/>
      <c r="I20" s="6"/>
      <c r="J20" s="142" t="s">
        <v>292</v>
      </c>
      <c r="K20" s="21" t="s">
        <v>1449</v>
      </c>
      <c r="L20" s="6" t="s">
        <v>10</v>
      </c>
      <c r="M20" s="6" t="s">
        <v>7</v>
      </c>
      <c r="N20" s="31">
        <v>5200</v>
      </c>
      <c r="O20" s="31">
        <v>2125</v>
      </c>
      <c r="P20" s="16">
        <f t="shared" si="0"/>
        <v>11.049999999999999</v>
      </c>
      <c r="Q20" s="13">
        <v>3.56</v>
      </c>
      <c r="R20" s="13">
        <v>1.18</v>
      </c>
      <c r="S20" s="13">
        <v>19.05</v>
      </c>
      <c r="T20" s="13">
        <v>3</v>
      </c>
      <c r="U20" s="16">
        <f t="shared" si="1"/>
        <v>39.040000000000006</v>
      </c>
      <c r="V20" s="13"/>
      <c r="W20" s="13"/>
      <c r="X20" s="13">
        <v>3.5</v>
      </c>
      <c r="Y20" s="13"/>
      <c r="Z20" s="14"/>
      <c r="AA20"/>
      <c r="AB20"/>
      <c r="AC20"/>
      <c r="AD20"/>
    </row>
    <row r="21" spans="1:30" s="15" customFormat="1" ht="45" x14ac:dyDescent="0.25">
      <c r="A21" s="139" t="s">
        <v>0</v>
      </c>
      <c r="B21" s="139" t="s">
        <v>228</v>
      </c>
      <c r="C21" s="139" t="s">
        <v>305</v>
      </c>
      <c r="D21" s="101" t="s">
        <v>32</v>
      </c>
      <c r="E21" s="165">
        <v>18.7</v>
      </c>
      <c r="F21" s="139" t="s">
        <v>4</v>
      </c>
      <c r="G21" s="5" t="s">
        <v>5</v>
      </c>
      <c r="H21" s="260"/>
      <c r="I21" s="6"/>
      <c r="J21" s="142" t="s">
        <v>292</v>
      </c>
      <c r="K21" s="21" t="s">
        <v>1449</v>
      </c>
      <c r="L21" s="6" t="s">
        <v>10</v>
      </c>
      <c r="M21" s="6" t="s">
        <v>7</v>
      </c>
      <c r="N21" s="31">
        <v>2875</v>
      </c>
      <c r="O21" s="31">
        <v>2125</v>
      </c>
      <c r="P21" s="16">
        <f t="shared" si="0"/>
        <v>6.109375</v>
      </c>
      <c r="Q21" s="13">
        <v>3.45</v>
      </c>
      <c r="R21" s="13">
        <v>1.1299999999999999</v>
      </c>
      <c r="S21" s="13">
        <v>18.850000000000001</v>
      </c>
      <c r="T21" s="13">
        <v>3</v>
      </c>
      <c r="U21" s="16">
        <f t="shared" si="1"/>
        <v>44.990625000000001</v>
      </c>
      <c r="V21" s="13"/>
      <c r="W21" s="13"/>
      <c r="X21" s="13">
        <v>2</v>
      </c>
      <c r="Y21" s="13"/>
      <c r="Z21" s="14"/>
      <c r="AA21"/>
      <c r="AB21"/>
      <c r="AC21"/>
      <c r="AD21"/>
    </row>
    <row r="22" spans="1:30" s="15" customFormat="1" ht="45" x14ac:dyDescent="0.25">
      <c r="A22" s="139" t="s">
        <v>0</v>
      </c>
      <c r="B22" s="139" t="s">
        <v>228</v>
      </c>
      <c r="C22" s="139" t="s">
        <v>306</v>
      </c>
      <c r="D22" s="101" t="s">
        <v>17</v>
      </c>
      <c r="E22" s="165">
        <v>17.100000000000001</v>
      </c>
      <c r="F22" s="139" t="s">
        <v>4</v>
      </c>
      <c r="G22" s="5" t="s">
        <v>5</v>
      </c>
      <c r="H22" s="260"/>
      <c r="I22" s="6"/>
      <c r="J22" s="142" t="s">
        <v>292</v>
      </c>
      <c r="K22" s="21" t="s">
        <v>1449</v>
      </c>
      <c r="L22" s="6" t="s">
        <v>10</v>
      </c>
      <c r="M22" s="6" t="s">
        <v>7</v>
      </c>
      <c r="N22" s="31">
        <v>6075</v>
      </c>
      <c r="O22" s="31">
        <v>2125</v>
      </c>
      <c r="P22" s="16">
        <f t="shared" si="0"/>
        <v>12.909374999999999</v>
      </c>
      <c r="Q22" s="13">
        <v>3.45</v>
      </c>
      <c r="R22" s="13">
        <v>1.1299999999999999</v>
      </c>
      <c r="S22" s="13">
        <v>18.95</v>
      </c>
      <c r="T22" s="13">
        <v>3</v>
      </c>
      <c r="U22" s="16">
        <f t="shared" si="1"/>
        <v>36.990624999999994</v>
      </c>
      <c r="V22" s="13"/>
      <c r="W22" s="13"/>
      <c r="X22" s="13">
        <v>3.5</v>
      </c>
      <c r="Y22" s="13"/>
      <c r="Z22" s="14"/>
      <c r="AA22"/>
      <c r="AB22"/>
      <c r="AC22"/>
      <c r="AD22"/>
    </row>
    <row r="23" spans="1:30" s="15" customFormat="1" ht="45" x14ac:dyDescent="0.25">
      <c r="A23" s="139" t="s">
        <v>0</v>
      </c>
      <c r="B23" s="139" t="s">
        <v>228</v>
      </c>
      <c r="C23" s="139" t="s">
        <v>307</v>
      </c>
      <c r="D23" s="101" t="s">
        <v>17</v>
      </c>
      <c r="E23" s="165">
        <v>17.100000000000001</v>
      </c>
      <c r="F23" s="139" t="s">
        <v>4</v>
      </c>
      <c r="G23" s="5" t="s">
        <v>5</v>
      </c>
      <c r="H23" s="260"/>
      <c r="I23" s="6"/>
      <c r="J23" s="142" t="s">
        <v>292</v>
      </c>
      <c r="K23" s="21" t="s">
        <v>1449</v>
      </c>
      <c r="L23" s="6" t="s">
        <v>10</v>
      </c>
      <c r="M23" s="6" t="s">
        <v>7</v>
      </c>
      <c r="N23" s="31">
        <v>6075</v>
      </c>
      <c r="O23" s="31">
        <v>2125</v>
      </c>
      <c r="P23" s="16">
        <f t="shared" si="0"/>
        <v>12.909374999999999</v>
      </c>
      <c r="Q23" s="13">
        <v>3.45</v>
      </c>
      <c r="R23" s="13">
        <v>1.1299999999999999</v>
      </c>
      <c r="S23" s="13">
        <v>18.95</v>
      </c>
      <c r="T23" s="13">
        <v>3</v>
      </c>
      <c r="U23" s="16">
        <f t="shared" si="1"/>
        <v>36.990624999999994</v>
      </c>
      <c r="V23" s="13"/>
      <c r="W23" s="13"/>
      <c r="X23" s="13">
        <v>3.5</v>
      </c>
      <c r="Y23" s="13"/>
      <c r="Z23" s="14"/>
      <c r="AA23"/>
      <c r="AB23"/>
      <c r="AC23"/>
      <c r="AD23"/>
    </row>
    <row r="24" spans="1:30" s="15" customFormat="1" ht="45" x14ac:dyDescent="0.25">
      <c r="A24" s="139" t="s">
        <v>0</v>
      </c>
      <c r="B24" s="139" t="s">
        <v>228</v>
      </c>
      <c r="C24" s="139" t="s">
        <v>308</v>
      </c>
      <c r="D24" s="101" t="s">
        <v>32</v>
      </c>
      <c r="E24" s="165">
        <v>18.7</v>
      </c>
      <c r="F24" s="139" t="s">
        <v>4</v>
      </c>
      <c r="G24" s="5" t="s">
        <v>5</v>
      </c>
      <c r="H24" s="260"/>
      <c r="I24" s="6"/>
      <c r="J24" s="142" t="s">
        <v>292</v>
      </c>
      <c r="K24" s="21" t="s">
        <v>1449</v>
      </c>
      <c r="L24" s="6" t="s">
        <v>10</v>
      </c>
      <c r="M24" s="6" t="s">
        <v>7</v>
      </c>
      <c r="N24" s="31">
        <v>2875</v>
      </c>
      <c r="O24" s="31">
        <v>2125</v>
      </c>
      <c r="P24" s="16">
        <f t="shared" si="0"/>
        <v>6.109375</v>
      </c>
      <c r="Q24" s="13">
        <v>3.45</v>
      </c>
      <c r="R24" s="13">
        <v>2.25</v>
      </c>
      <c r="S24" s="13">
        <v>18.850000000000001</v>
      </c>
      <c r="T24" s="13">
        <v>3</v>
      </c>
      <c r="U24" s="16">
        <f t="shared" si="1"/>
        <v>44.990625000000001</v>
      </c>
      <c r="V24" s="13"/>
      <c r="W24" s="13"/>
      <c r="X24" s="13">
        <v>2</v>
      </c>
      <c r="Y24" s="13"/>
      <c r="Z24" s="14"/>
      <c r="AA24"/>
      <c r="AB24"/>
      <c r="AC24"/>
      <c r="AD24"/>
    </row>
    <row r="25" spans="1:30" s="15" customFormat="1" ht="45" x14ac:dyDescent="0.25">
      <c r="A25" s="139" t="s">
        <v>0</v>
      </c>
      <c r="B25" s="139" t="s">
        <v>228</v>
      </c>
      <c r="C25" s="139" t="s">
        <v>309</v>
      </c>
      <c r="D25" s="101" t="s">
        <v>17</v>
      </c>
      <c r="E25" s="165">
        <v>17.899999999999999</v>
      </c>
      <c r="F25" s="139" t="s">
        <v>4</v>
      </c>
      <c r="G25" s="5" t="s">
        <v>5</v>
      </c>
      <c r="H25" s="260"/>
      <c r="I25" s="6"/>
      <c r="J25" s="142" t="s">
        <v>292</v>
      </c>
      <c r="K25" s="21" t="s">
        <v>1449</v>
      </c>
      <c r="L25" s="6" t="s">
        <v>10</v>
      </c>
      <c r="M25" s="6" t="s">
        <v>7</v>
      </c>
      <c r="N25" s="31">
        <v>5200</v>
      </c>
      <c r="O25" s="31">
        <v>2125</v>
      </c>
      <c r="P25" s="16">
        <f t="shared" si="0"/>
        <v>11.049999999999999</v>
      </c>
      <c r="Q25" s="13">
        <v>3.45</v>
      </c>
      <c r="R25" s="13">
        <v>1.1299999999999999</v>
      </c>
      <c r="S25" s="13">
        <v>19.2</v>
      </c>
      <c r="T25" s="13">
        <v>3</v>
      </c>
      <c r="U25" s="16">
        <f t="shared" si="1"/>
        <v>39.599999999999994</v>
      </c>
      <c r="V25" s="13"/>
      <c r="W25" s="13"/>
      <c r="X25" s="13">
        <v>3.5</v>
      </c>
      <c r="Y25" s="13"/>
      <c r="Z25" s="14"/>
      <c r="AA25"/>
      <c r="AB25"/>
      <c r="AC25"/>
      <c r="AD25"/>
    </row>
    <row r="26" spans="1:30" s="15" customFormat="1" ht="45" x14ac:dyDescent="0.25">
      <c r="A26" s="139" t="s">
        <v>0</v>
      </c>
      <c r="B26" s="139" t="s">
        <v>228</v>
      </c>
      <c r="C26" s="139" t="s">
        <v>310</v>
      </c>
      <c r="D26" s="101" t="s">
        <v>3</v>
      </c>
      <c r="E26" s="165">
        <v>12.2</v>
      </c>
      <c r="F26" s="139" t="s">
        <v>4</v>
      </c>
      <c r="G26" s="5" t="s">
        <v>5</v>
      </c>
      <c r="H26" s="260"/>
      <c r="I26" s="6"/>
      <c r="J26" s="142" t="s">
        <v>292</v>
      </c>
      <c r="K26" s="21" t="s">
        <v>1449</v>
      </c>
      <c r="L26" s="6" t="s">
        <v>10</v>
      </c>
      <c r="M26" s="6" t="s">
        <v>7</v>
      </c>
      <c r="N26" s="31">
        <v>5375</v>
      </c>
      <c r="O26" s="31">
        <v>2125</v>
      </c>
      <c r="P26" s="16">
        <f t="shared" si="0"/>
        <v>11.421875</v>
      </c>
      <c r="Q26" s="13">
        <v>5.28</v>
      </c>
      <c r="R26" s="13">
        <v>1.1299999999999999</v>
      </c>
      <c r="S26" s="13">
        <v>29.05</v>
      </c>
      <c r="T26" s="13">
        <v>3</v>
      </c>
      <c r="U26" s="16">
        <f t="shared" si="1"/>
        <v>68.448125000000005</v>
      </c>
      <c r="V26" s="13"/>
      <c r="W26" s="13"/>
      <c r="X26" s="13">
        <v>2</v>
      </c>
      <c r="Y26" s="13"/>
      <c r="Z26" s="14"/>
      <c r="AA26"/>
      <c r="AB26"/>
      <c r="AC26"/>
      <c r="AD26"/>
    </row>
    <row r="27" spans="1:30" s="15" customFormat="1" ht="45" x14ac:dyDescent="0.25">
      <c r="A27" s="139" t="s">
        <v>0</v>
      </c>
      <c r="B27" s="139" t="s">
        <v>228</v>
      </c>
      <c r="C27" s="139" t="s">
        <v>311</v>
      </c>
      <c r="D27" s="101" t="s">
        <v>312</v>
      </c>
      <c r="E27" s="165">
        <v>4.5999999999999996</v>
      </c>
      <c r="F27" s="139" t="s">
        <v>4</v>
      </c>
      <c r="G27" s="5" t="s">
        <v>5</v>
      </c>
      <c r="H27" s="260"/>
      <c r="I27" s="6"/>
      <c r="J27" s="142" t="s">
        <v>292</v>
      </c>
      <c r="K27" s="21" t="s">
        <v>1449</v>
      </c>
      <c r="L27" s="6" t="s">
        <v>10</v>
      </c>
      <c r="M27" s="6" t="s">
        <v>7</v>
      </c>
      <c r="N27" s="31">
        <v>3450</v>
      </c>
      <c r="O27" s="31">
        <v>2000</v>
      </c>
      <c r="P27" s="16">
        <f t="shared" si="0"/>
        <v>6.8999999999999995</v>
      </c>
      <c r="Q27" s="13"/>
      <c r="R27" s="13"/>
      <c r="S27" s="13"/>
      <c r="T27" s="13">
        <v>3</v>
      </c>
      <c r="U27" s="13"/>
      <c r="V27" s="13"/>
      <c r="W27" s="13"/>
      <c r="X27" s="13"/>
      <c r="Y27" s="13"/>
      <c r="Z27" s="14"/>
      <c r="AA27"/>
      <c r="AB27"/>
      <c r="AC27"/>
      <c r="AD27"/>
    </row>
    <row r="28" spans="1:30" s="15" customFormat="1" ht="45" x14ac:dyDescent="0.25">
      <c r="A28" s="139" t="s">
        <v>0</v>
      </c>
      <c r="B28" s="139" t="s">
        <v>228</v>
      </c>
      <c r="C28" s="139" t="s">
        <v>313</v>
      </c>
      <c r="D28" s="101" t="s">
        <v>312</v>
      </c>
      <c r="E28" s="165">
        <v>4.3</v>
      </c>
      <c r="F28" s="139" t="s">
        <v>4</v>
      </c>
      <c r="G28" s="5" t="s">
        <v>5</v>
      </c>
      <c r="H28" s="134"/>
      <c r="I28" s="6"/>
      <c r="J28" s="142" t="s">
        <v>292</v>
      </c>
      <c r="K28" s="21" t="s">
        <v>1449</v>
      </c>
      <c r="L28" s="6" t="s">
        <v>10</v>
      </c>
      <c r="M28" s="6" t="s">
        <v>7</v>
      </c>
      <c r="N28" s="31">
        <v>5450</v>
      </c>
      <c r="O28" s="31">
        <v>2000</v>
      </c>
      <c r="P28" s="16">
        <f t="shared" si="0"/>
        <v>10.9</v>
      </c>
      <c r="Q28" s="13"/>
      <c r="R28" s="13"/>
      <c r="S28" s="13"/>
      <c r="T28" s="13">
        <v>3</v>
      </c>
      <c r="U28" s="13"/>
      <c r="V28" s="13"/>
      <c r="W28" s="13"/>
      <c r="X28" s="13"/>
      <c r="Y28" s="13"/>
      <c r="Z28" s="14"/>
      <c r="AA28"/>
      <c r="AB28"/>
      <c r="AC28"/>
      <c r="AD28"/>
    </row>
    <row r="29" spans="1:30" s="15" customFormat="1" ht="45" x14ac:dyDescent="0.25">
      <c r="A29" s="139" t="s">
        <v>0</v>
      </c>
      <c r="B29" s="139" t="s">
        <v>228</v>
      </c>
      <c r="C29" s="139" t="s">
        <v>314</v>
      </c>
      <c r="D29" s="101" t="s">
        <v>312</v>
      </c>
      <c r="E29" s="165">
        <v>5.6</v>
      </c>
      <c r="F29" s="139" t="s">
        <v>4</v>
      </c>
      <c r="G29" s="5" t="s">
        <v>5</v>
      </c>
      <c r="H29" s="134"/>
      <c r="I29" s="6"/>
      <c r="J29" s="142" t="s">
        <v>292</v>
      </c>
      <c r="K29" s="21" t="s">
        <v>1449</v>
      </c>
      <c r="L29" s="6" t="s">
        <v>10</v>
      </c>
      <c r="M29" s="6" t="s">
        <v>7</v>
      </c>
      <c r="N29" s="31">
        <v>4200</v>
      </c>
      <c r="O29" s="31">
        <v>2000</v>
      </c>
      <c r="P29" s="16">
        <f t="shared" si="0"/>
        <v>8.4</v>
      </c>
      <c r="Q29" s="13"/>
      <c r="R29" s="13"/>
      <c r="S29" s="13"/>
      <c r="T29" s="13">
        <v>3</v>
      </c>
      <c r="U29" s="13"/>
      <c r="V29" s="13"/>
      <c r="W29" s="13"/>
      <c r="X29" s="13"/>
      <c r="Y29" s="13"/>
      <c r="Z29" s="14"/>
      <c r="AA29"/>
      <c r="AB29"/>
      <c r="AC29"/>
      <c r="AD29"/>
    </row>
    <row r="30" spans="1:30" s="15" customFormat="1" ht="45" x14ac:dyDescent="0.25">
      <c r="A30" s="139" t="s">
        <v>0</v>
      </c>
      <c r="B30" s="139" t="s">
        <v>228</v>
      </c>
      <c r="C30" s="139" t="s">
        <v>315</v>
      </c>
      <c r="D30" s="101" t="s">
        <v>312</v>
      </c>
      <c r="E30" s="165">
        <v>5.6</v>
      </c>
      <c r="F30" s="139" t="s">
        <v>4</v>
      </c>
      <c r="G30" s="5" t="s">
        <v>5</v>
      </c>
      <c r="H30" s="134"/>
      <c r="I30" s="6"/>
      <c r="J30" s="142" t="s">
        <v>292</v>
      </c>
      <c r="K30" s="21" t="s">
        <v>1449</v>
      </c>
      <c r="L30" s="6" t="s">
        <v>10</v>
      </c>
      <c r="M30" s="6" t="s">
        <v>7</v>
      </c>
      <c r="N30" s="31">
        <v>2100</v>
      </c>
      <c r="O30" s="31">
        <v>2000</v>
      </c>
      <c r="P30" s="16">
        <f t="shared" si="0"/>
        <v>4.2</v>
      </c>
      <c r="Q30" s="13"/>
      <c r="R30" s="13"/>
      <c r="S30" s="13"/>
      <c r="T30" s="13">
        <v>3</v>
      </c>
      <c r="U30" s="13"/>
      <c r="V30" s="13"/>
      <c r="W30" s="13"/>
      <c r="X30" s="13"/>
      <c r="Y30" s="13"/>
      <c r="Z30" s="14"/>
      <c r="AA30"/>
      <c r="AB30"/>
      <c r="AC30"/>
      <c r="AD30"/>
    </row>
    <row r="31" spans="1:30" s="15" customFormat="1" ht="45" x14ac:dyDescent="0.25">
      <c r="A31" s="139" t="s">
        <v>0</v>
      </c>
      <c r="B31" s="139" t="s">
        <v>228</v>
      </c>
      <c r="C31" s="139" t="s">
        <v>316</v>
      </c>
      <c r="D31" s="101" t="s">
        <v>317</v>
      </c>
      <c r="E31" s="165">
        <v>4.9000000000000004</v>
      </c>
      <c r="F31" s="139" t="s">
        <v>4</v>
      </c>
      <c r="G31" s="5" t="s">
        <v>5</v>
      </c>
      <c r="H31" s="134"/>
      <c r="I31" s="6"/>
      <c r="J31" s="142" t="s">
        <v>292</v>
      </c>
      <c r="K31" s="21" t="s">
        <v>1449</v>
      </c>
      <c r="L31" s="6" t="s">
        <v>10</v>
      </c>
      <c r="M31" s="6" t="s">
        <v>7</v>
      </c>
      <c r="N31" s="31">
        <v>750</v>
      </c>
      <c r="O31" s="31">
        <v>2100</v>
      </c>
      <c r="P31" s="16">
        <f t="shared" si="0"/>
        <v>1.575</v>
      </c>
      <c r="Q31" s="13"/>
      <c r="R31" s="13"/>
      <c r="S31" s="13">
        <v>8.9</v>
      </c>
      <c r="T31" s="13">
        <v>2.7</v>
      </c>
      <c r="U31" s="16">
        <f>S31*T31-P31-Q31-X31-Y31</f>
        <v>22.455000000000002</v>
      </c>
      <c r="V31" s="13"/>
      <c r="W31" s="13"/>
      <c r="X31" s="13"/>
      <c r="Y31" s="13"/>
      <c r="Z31" s="14"/>
      <c r="AA31"/>
      <c r="AB31"/>
      <c r="AC31"/>
      <c r="AD31"/>
    </row>
    <row r="32" spans="1:30" s="15" customFormat="1" ht="45" x14ac:dyDescent="0.25">
      <c r="A32" s="139" t="s">
        <v>0</v>
      </c>
      <c r="B32" s="139" t="s">
        <v>228</v>
      </c>
      <c r="C32" s="139" t="s">
        <v>318</v>
      </c>
      <c r="D32" s="101" t="s">
        <v>319</v>
      </c>
      <c r="E32" s="165">
        <v>9.4</v>
      </c>
      <c r="F32" s="139" t="s">
        <v>4</v>
      </c>
      <c r="G32" s="5" t="s">
        <v>5</v>
      </c>
      <c r="H32" s="134"/>
      <c r="I32" s="6"/>
      <c r="J32" s="142" t="s">
        <v>292</v>
      </c>
      <c r="K32" s="21" t="s">
        <v>1449</v>
      </c>
      <c r="L32" s="6" t="s">
        <v>10</v>
      </c>
      <c r="M32" s="6" t="s">
        <v>7</v>
      </c>
      <c r="N32" s="31">
        <v>1125</v>
      </c>
      <c r="O32" s="31">
        <v>2125</v>
      </c>
      <c r="P32" s="16">
        <f t="shared" si="0"/>
        <v>2.390625</v>
      </c>
      <c r="Q32" s="13">
        <v>3.45</v>
      </c>
      <c r="R32" s="13">
        <v>2.25</v>
      </c>
      <c r="S32" s="13">
        <v>13</v>
      </c>
      <c r="T32" s="13">
        <v>3</v>
      </c>
      <c r="U32" s="16">
        <f>S32*T32-P32-Q32-X32-Y32</f>
        <v>33.159374999999997</v>
      </c>
      <c r="V32" s="13"/>
      <c r="W32" s="13"/>
      <c r="X32" s="13"/>
      <c r="Y32" s="13"/>
      <c r="Z32" s="14"/>
      <c r="AA32"/>
      <c r="AB32"/>
      <c r="AC32"/>
      <c r="AD32"/>
    </row>
    <row r="33" spans="1:30" s="15" customFormat="1" ht="45" x14ac:dyDescent="0.25">
      <c r="A33" s="139" t="s">
        <v>0</v>
      </c>
      <c r="B33" s="139" t="s">
        <v>228</v>
      </c>
      <c r="C33" s="139" t="s">
        <v>320</v>
      </c>
      <c r="D33" s="101" t="s">
        <v>321</v>
      </c>
      <c r="E33" s="165">
        <v>16.3</v>
      </c>
      <c r="F33" s="139" t="s">
        <v>4</v>
      </c>
      <c r="G33" s="5" t="s">
        <v>5</v>
      </c>
      <c r="H33" s="134"/>
      <c r="I33" s="6"/>
      <c r="J33" s="142" t="s">
        <v>292</v>
      </c>
      <c r="K33" s="21" t="s">
        <v>1449</v>
      </c>
      <c r="L33" s="6" t="s">
        <v>10</v>
      </c>
      <c r="M33" s="6" t="s">
        <v>7</v>
      </c>
      <c r="N33" s="31">
        <v>1125</v>
      </c>
      <c r="O33" s="31">
        <v>2125</v>
      </c>
      <c r="P33" s="16">
        <f t="shared" si="0"/>
        <v>2.390625</v>
      </c>
      <c r="Q33" s="13">
        <v>3.45</v>
      </c>
      <c r="R33" s="13">
        <v>1.1299999999999999</v>
      </c>
      <c r="S33" s="13">
        <v>16.2</v>
      </c>
      <c r="T33" s="13">
        <v>3</v>
      </c>
      <c r="U33" s="16">
        <f>S33*T33-P33-Q33-X33-Y33</f>
        <v>40.759374999999991</v>
      </c>
      <c r="V33" s="13"/>
      <c r="W33" s="13"/>
      <c r="X33" s="13">
        <v>2</v>
      </c>
      <c r="Y33" s="13"/>
      <c r="Z33" s="14"/>
      <c r="AA33"/>
      <c r="AB33"/>
      <c r="AC33"/>
      <c r="AD33"/>
    </row>
    <row r="34" spans="1:30" s="15" customFormat="1" ht="45" x14ac:dyDescent="0.25">
      <c r="A34" s="139" t="s">
        <v>0</v>
      </c>
      <c r="B34" s="139" t="s">
        <v>228</v>
      </c>
      <c r="C34" s="139" t="s">
        <v>322</v>
      </c>
      <c r="D34" s="101" t="s">
        <v>140</v>
      </c>
      <c r="E34" s="165">
        <v>7.4</v>
      </c>
      <c r="F34" s="139" t="s">
        <v>4</v>
      </c>
      <c r="G34" s="5" t="s">
        <v>5</v>
      </c>
      <c r="H34" s="134"/>
      <c r="I34" s="6"/>
      <c r="J34" s="142" t="s">
        <v>292</v>
      </c>
      <c r="K34" s="21" t="s">
        <v>1449</v>
      </c>
      <c r="L34" s="6" t="s">
        <v>10</v>
      </c>
      <c r="M34" s="6" t="s">
        <v>7</v>
      </c>
      <c r="N34" s="31">
        <v>4425</v>
      </c>
      <c r="O34" s="31">
        <v>2125</v>
      </c>
      <c r="P34" s="16">
        <f t="shared" si="0"/>
        <v>9.4031249999999993</v>
      </c>
      <c r="Q34" s="13"/>
      <c r="R34" s="13"/>
      <c r="S34" s="13">
        <v>11.7</v>
      </c>
      <c r="T34" s="13">
        <v>2.7</v>
      </c>
      <c r="U34" s="13"/>
      <c r="V34" s="13"/>
      <c r="W34" s="13"/>
      <c r="X34" s="47">
        <f>S34*T34-P34-Q34-Y34</f>
        <v>22.186875000000001</v>
      </c>
      <c r="Y34" s="13"/>
      <c r="Z34" s="14"/>
      <c r="AA34"/>
      <c r="AB34"/>
      <c r="AC34"/>
      <c r="AD34"/>
    </row>
    <row r="35" spans="1:30" s="15" customFormat="1" ht="45" x14ac:dyDescent="0.25">
      <c r="A35" s="139" t="s">
        <v>0</v>
      </c>
      <c r="B35" s="139" t="s">
        <v>228</v>
      </c>
      <c r="C35" s="139" t="s">
        <v>323</v>
      </c>
      <c r="D35" s="101" t="s">
        <v>65</v>
      </c>
      <c r="E35" s="165">
        <v>1.2</v>
      </c>
      <c r="F35" s="139" t="s">
        <v>4</v>
      </c>
      <c r="G35" s="5" t="s">
        <v>5</v>
      </c>
      <c r="H35" s="134"/>
      <c r="I35" s="6"/>
      <c r="J35" s="142" t="s">
        <v>292</v>
      </c>
      <c r="K35" s="21" t="s">
        <v>1449</v>
      </c>
      <c r="L35" s="6" t="s">
        <v>10</v>
      </c>
      <c r="M35" s="6" t="s">
        <v>7</v>
      </c>
      <c r="N35" s="31">
        <v>875</v>
      </c>
      <c r="O35" s="31">
        <v>2125</v>
      </c>
      <c r="P35" s="16">
        <f t="shared" si="0"/>
        <v>1.859375</v>
      </c>
      <c r="Q35" s="13"/>
      <c r="R35" s="13"/>
      <c r="S35" s="13">
        <v>4.0999999999999996</v>
      </c>
      <c r="T35" s="13">
        <v>2.6</v>
      </c>
      <c r="U35" s="13"/>
      <c r="V35" s="13"/>
      <c r="W35" s="13"/>
      <c r="X35" s="47">
        <f>S35*T35-P35-Q35-Y35</f>
        <v>8.8006250000000001</v>
      </c>
      <c r="Y35" s="13"/>
      <c r="Z35" s="14"/>
      <c r="AA35"/>
      <c r="AB35"/>
      <c r="AC35"/>
      <c r="AD35"/>
    </row>
    <row r="36" spans="1:30" s="15" customFormat="1" ht="45" x14ac:dyDescent="0.25">
      <c r="A36" s="139" t="s">
        <v>0</v>
      </c>
      <c r="B36" s="139" t="s">
        <v>228</v>
      </c>
      <c r="C36" s="139" t="s">
        <v>324</v>
      </c>
      <c r="D36" s="101" t="s">
        <v>220</v>
      </c>
      <c r="E36" s="165">
        <v>2.1</v>
      </c>
      <c r="F36" s="139" t="s">
        <v>4</v>
      </c>
      <c r="G36" s="5" t="s">
        <v>5</v>
      </c>
      <c r="H36" s="134"/>
      <c r="I36" s="6"/>
      <c r="J36" s="142" t="s">
        <v>292</v>
      </c>
      <c r="K36" s="21" t="s">
        <v>1449</v>
      </c>
      <c r="L36" s="6" t="s">
        <v>6</v>
      </c>
      <c r="M36" s="6" t="s">
        <v>7</v>
      </c>
      <c r="N36" s="31">
        <v>3075</v>
      </c>
      <c r="O36" s="31">
        <v>2125</v>
      </c>
      <c r="P36" s="16">
        <f t="shared" si="0"/>
        <v>6.5343749999999998</v>
      </c>
      <c r="Q36" s="13"/>
      <c r="R36" s="13"/>
      <c r="S36" s="13">
        <v>5.9</v>
      </c>
      <c r="T36" s="13">
        <v>2.6</v>
      </c>
      <c r="U36" s="13"/>
      <c r="V36" s="13"/>
      <c r="W36" s="13"/>
      <c r="X36" s="47">
        <f>S36*T36-P36-Q36-Y36</f>
        <v>8.8056250000000027</v>
      </c>
      <c r="Y36" s="13"/>
      <c r="Z36" s="14"/>
      <c r="AA36"/>
      <c r="AB36"/>
      <c r="AC36"/>
      <c r="AD36"/>
    </row>
    <row r="37" spans="1:30" s="15" customFormat="1" ht="45" x14ac:dyDescent="0.25">
      <c r="A37" s="139" t="s">
        <v>0</v>
      </c>
      <c r="B37" s="139" t="s">
        <v>228</v>
      </c>
      <c r="C37" s="139" t="s">
        <v>325</v>
      </c>
      <c r="D37" s="101" t="s">
        <v>3</v>
      </c>
      <c r="E37" s="165">
        <v>9.6</v>
      </c>
      <c r="F37" s="139" t="s">
        <v>4</v>
      </c>
      <c r="G37" s="5" t="s">
        <v>5</v>
      </c>
      <c r="H37" s="134"/>
      <c r="I37" s="6"/>
      <c r="J37" s="142" t="s">
        <v>292</v>
      </c>
      <c r="K37" s="21" t="s">
        <v>1449</v>
      </c>
      <c r="L37" s="6" t="s">
        <v>81</v>
      </c>
      <c r="M37" s="6" t="s">
        <v>7</v>
      </c>
      <c r="N37" s="31">
        <v>6125</v>
      </c>
      <c r="O37" s="31">
        <v>2125</v>
      </c>
      <c r="P37" s="16">
        <f t="shared" si="0"/>
        <v>13.015625</v>
      </c>
      <c r="Q37" s="13"/>
      <c r="R37" s="13"/>
      <c r="S37" s="13">
        <v>15.2</v>
      </c>
      <c r="T37" s="13">
        <v>2.7</v>
      </c>
      <c r="U37" s="16">
        <f>S37*T37-P37-Q37-X37-Y37</f>
        <v>28.024374999999999</v>
      </c>
      <c r="V37" s="13"/>
      <c r="W37" s="13"/>
      <c r="X37" s="13"/>
      <c r="Y37" s="13"/>
      <c r="Z37" s="14"/>
      <c r="AA37"/>
      <c r="AB37"/>
      <c r="AC37"/>
      <c r="AD37"/>
    </row>
    <row r="38" spans="1:30" s="15" customFormat="1" ht="75" x14ac:dyDescent="0.25">
      <c r="A38" s="139" t="s">
        <v>0</v>
      </c>
      <c r="B38" s="139" t="s">
        <v>228</v>
      </c>
      <c r="C38" s="139" t="s">
        <v>326</v>
      </c>
      <c r="D38" s="101" t="s">
        <v>327</v>
      </c>
      <c r="E38" s="165">
        <v>49.6</v>
      </c>
      <c r="F38" s="139" t="s">
        <v>4</v>
      </c>
      <c r="G38" s="5" t="s">
        <v>5</v>
      </c>
      <c r="H38" s="134"/>
      <c r="I38" s="6"/>
      <c r="J38" s="142" t="s">
        <v>292</v>
      </c>
      <c r="K38" s="95" t="s">
        <v>2034</v>
      </c>
      <c r="L38" s="6" t="s">
        <v>10</v>
      </c>
      <c r="M38" s="6" t="s">
        <v>7</v>
      </c>
      <c r="N38" s="31">
        <v>1500</v>
      </c>
      <c r="O38" s="31">
        <v>2125</v>
      </c>
      <c r="P38" s="16">
        <f t="shared" si="0"/>
        <v>3.1875</v>
      </c>
      <c r="Q38" s="13">
        <v>6.09</v>
      </c>
      <c r="R38" s="13">
        <v>1.1299999999999999</v>
      </c>
      <c r="S38" s="13">
        <v>29.3</v>
      </c>
      <c r="T38" s="13">
        <v>3</v>
      </c>
      <c r="U38" s="16">
        <f>S38*T38-P38-Q38-X38-Y38</f>
        <v>78.622500000000002</v>
      </c>
      <c r="V38" s="13"/>
      <c r="W38" s="13"/>
      <c r="X38" s="13"/>
      <c r="Y38" s="13"/>
      <c r="Z38" s="14"/>
      <c r="AA38"/>
      <c r="AB38"/>
      <c r="AC38"/>
      <c r="AD38"/>
    </row>
    <row r="39" spans="1:30" s="15" customFormat="1" ht="45" x14ac:dyDescent="0.25">
      <c r="A39" s="139" t="s">
        <v>0</v>
      </c>
      <c r="B39" s="139" t="s">
        <v>228</v>
      </c>
      <c r="C39" s="139" t="s">
        <v>328</v>
      </c>
      <c r="D39" s="101" t="s">
        <v>329</v>
      </c>
      <c r="E39" s="165">
        <v>2.2999999999999998</v>
      </c>
      <c r="F39" s="139" t="s">
        <v>4</v>
      </c>
      <c r="G39" s="5" t="s">
        <v>5</v>
      </c>
      <c r="H39" s="134"/>
      <c r="I39" s="6"/>
      <c r="J39" s="142" t="s">
        <v>292</v>
      </c>
      <c r="K39" s="5" t="s">
        <v>1449</v>
      </c>
      <c r="L39" s="6" t="s">
        <v>10</v>
      </c>
      <c r="M39" s="6" t="s">
        <v>7</v>
      </c>
      <c r="N39" s="31">
        <v>1625</v>
      </c>
      <c r="O39" s="31">
        <v>2125</v>
      </c>
      <c r="P39" s="16">
        <f t="shared" si="0"/>
        <v>3.453125</v>
      </c>
      <c r="Q39" s="13"/>
      <c r="R39" s="13"/>
      <c r="S39" s="13">
        <v>6.2</v>
      </c>
      <c r="T39" s="13">
        <v>2.6</v>
      </c>
      <c r="U39" s="13"/>
      <c r="V39" s="13"/>
      <c r="W39" s="13"/>
      <c r="X39" s="47">
        <f>S39*T39-P39-Q39-Y39</f>
        <v>12.666875000000001</v>
      </c>
      <c r="Y39" s="13"/>
      <c r="Z39" s="14"/>
      <c r="AA39"/>
      <c r="AB39"/>
      <c r="AC39"/>
      <c r="AD39"/>
    </row>
    <row r="40" spans="1:30" s="15" customFormat="1" ht="45" x14ac:dyDescent="0.25">
      <c r="A40" s="139" t="s">
        <v>0</v>
      </c>
      <c r="B40" s="139" t="s">
        <v>228</v>
      </c>
      <c r="C40" s="139" t="s">
        <v>330</v>
      </c>
      <c r="D40" s="101" t="s">
        <v>65</v>
      </c>
      <c r="E40" s="165">
        <v>1.1000000000000001</v>
      </c>
      <c r="F40" s="139" t="s">
        <v>4</v>
      </c>
      <c r="G40" s="5" t="s">
        <v>5</v>
      </c>
      <c r="H40" s="134"/>
      <c r="I40" s="6"/>
      <c r="J40" s="142" t="s">
        <v>292</v>
      </c>
      <c r="K40" s="5" t="s">
        <v>1449</v>
      </c>
      <c r="L40" s="6" t="s">
        <v>6</v>
      </c>
      <c r="M40" s="6" t="s">
        <v>7</v>
      </c>
      <c r="N40" s="31">
        <v>750</v>
      </c>
      <c r="O40" s="31">
        <v>2125</v>
      </c>
      <c r="P40" s="16">
        <f t="shared" si="0"/>
        <v>1.59375</v>
      </c>
      <c r="Q40" s="13"/>
      <c r="R40" s="13"/>
      <c r="S40" s="13">
        <v>4</v>
      </c>
      <c r="T40" s="13">
        <v>2.6</v>
      </c>
      <c r="U40" s="13"/>
      <c r="V40" s="13"/>
      <c r="W40" s="13"/>
      <c r="X40" s="47">
        <f>S40*T40-P40-Q40-Y40</f>
        <v>8.8062500000000004</v>
      </c>
      <c r="Y40" s="13"/>
      <c r="Z40" s="14"/>
      <c r="AA40"/>
      <c r="AB40"/>
      <c r="AC40"/>
      <c r="AD40"/>
    </row>
    <row r="41" spans="1:30" s="15" customFormat="1" ht="45" x14ac:dyDescent="0.25">
      <c r="A41" s="139" t="s">
        <v>0</v>
      </c>
      <c r="B41" s="139" t="s">
        <v>228</v>
      </c>
      <c r="C41" s="139" t="s">
        <v>331</v>
      </c>
      <c r="D41" s="101" t="s">
        <v>332</v>
      </c>
      <c r="E41" s="165">
        <v>35.700000000000003</v>
      </c>
      <c r="F41" s="139" t="s">
        <v>4</v>
      </c>
      <c r="G41" s="5" t="s">
        <v>5</v>
      </c>
      <c r="H41" s="134"/>
      <c r="I41" s="6"/>
      <c r="J41" s="142" t="s">
        <v>292</v>
      </c>
      <c r="K41" s="5" t="s">
        <v>1449</v>
      </c>
      <c r="L41" s="6" t="s">
        <v>6</v>
      </c>
      <c r="M41" s="6"/>
      <c r="N41" s="31"/>
      <c r="O41" s="31"/>
      <c r="P41" s="16">
        <f t="shared" si="0"/>
        <v>0</v>
      </c>
      <c r="Q41" s="13"/>
      <c r="R41" s="13"/>
      <c r="S41" s="13">
        <v>25.1</v>
      </c>
      <c r="T41" s="13">
        <v>3</v>
      </c>
      <c r="U41" s="16">
        <f>S41*T41-P41-Q41-X41-Y41</f>
        <v>75.300000000000011</v>
      </c>
      <c r="V41" s="13"/>
      <c r="W41" s="13"/>
      <c r="X41" s="13"/>
      <c r="Y41" s="13"/>
      <c r="Z41" s="14"/>
      <c r="AA41"/>
      <c r="AB41"/>
      <c r="AC41"/>
      <c r="AD41"/>
    </row>
    <row r="42" spans="1:30" s="15" customFormat="1" ht="45" x14ac:dyDescent="0.25">
      <c r="A42" s="139" t="s">
        <v>0</v>
      </c>
      <c r="B42" s="139" t="s">
        <v>228</v>
      </c>
      <c r="C42" s="139" t="s">
        <v>333</v>
      </c>
      <c r="D42" s="101" t="s">
        <v>219</v>
      </c>
      <c r="E42" s="165">
        <v>1.9</v>
      </c>
      <c r="F42" s="139" t="s">
        <v>4</v>
      </c>
      <c r="G42" s="5" t="s">
        <v>5</v>
      </c>
      <c r="H42" s="134"/>
      <c r="I42" s="6"/>
      <c r="J42" s="142" t="s">
        <v>292</v>
      </c>
      <c r="K42" s="5" t="s">
        <v>1449</v>
      </c>
      <c r="L42" s="6" t="s">
        <v>10</v>
      </c>
      <c r="M42" s="6" t="s">
        <v>7</v>
      </c>
      <c r="N42" s="31">
        <v>1750</v>
      </c>
      <c r="O42" s="31">
        <v>2125</v>
      </c>
      <c r="P42" s="16">
        <f t="shared" si="0"/>
        <v>3.71875</v>
      </c>
      <c r="Q42" s="13"/>
      <c r="R42" s="13"/>
      <c r="S42" s="13">
        <v>5.6</v>
      </c>
      <c r="T42" s="13">
        <v>2.6</v>
      </c>
      <c r="U42" s="13"/>
      <c r="V42" s="13"/>
      <c r="W42" s="13"/>
      <c r="X42" s="47">
        <f t="shared" ref="X42:X48" si="2">S42*T42-P42-Q42-Y42</f>
        <v>10.841249999999999</v>
      </c>
      <c r="Y42" s="13"/>
      <c r="Z42" s="14"/>
      <c r="AA42"/>
      <c r="AB42"/>
      <c r="AC42"/>
      <c r="AD42"/>
    </row>
    <row r="43" spans="1:30" s="15" customFormat="1" ht="45" x14ac:dyDescent="0.25">
      <c r="A43" s="139" t="s">
        <v>0</v>
      </c>
      <c r="B43" s="139" t="s">
        <v>228</v>
      </c>
      <c r="C43" s="139" t="s">
        <v>334</v>
      </c>
      <c r="D43" s="101" t="s">
        <v>335</v>
      </c>
      <c r="E43" s="165">
        <v>3.9</v>
      </c>
      <c r="F43" s="139" t="s">
        <v>4</v>
      </c>
      <c r="G43" s="5" t="s">
        <v>5</v>
      </c>
      <c r="H43" s="134"/>
      <c r="I43" s="6"/>
      <c r="J43" s="142" t="s">
        <v>292</v>
      </c>
      <c r="K43" s="5" t="s">
        <v>1449</v>
      </c>
      <c r="L43" s="6" t="s">
        <v>6</v>
      </c>
      <c r="M43" s="6" t="s">
        <v>7</v>
      </c>
      <c r="N43" s="31">
        <v>1750</v>
      </c>
      <c r="O43" s="31">
        <v>2125</v>
      </c>
      <c r="P43" s="16">
        <f t="shared" si="0"/>
        <v>3.71875</v>
      </c>
      <c r="Q43" s="13"/>
      <c r="R43" s="13"/>
      <c r="S43" s="13">
        <v>8.3000000000000007</v>
      </c>
      <c r="T43" s="13">
        <v>2.6</v>
      </c>
      <c r="U43" s="13"/>
      <c r="V43" s="13"/>
      <c r="W43" s="13"/>
      <c r="X43" s="47">
        <f t="shared" si="2"/>
        <v>17.861250000000002</v>
      </c>
      <c r="Y43" s="13"/>
      <c r="Z43" s="14"/>
      <c r="AA43"/>
      <c r="AB43"/>
      <c r="AC43"/>
      <c r="AD43"/>
    </row>
    <row r="44" spans="1:30" s="15" customFormat="1" ht="45" x14ac:dyDescent="0.25">
      <c r="A44" s="139" t="s">
        <v>0</v>
      </c>
      <c r="B44" s="139" t="s">
        <v>228</v>
      </c>
      <c r="C44" s="139" t="s">
        <v>336</v>
      </c>
      <c r="D44" s="101" t="s">
        <v>65</v>
      </c>
      <c r="E44" s="165">
        <v>1.2</v>
      </c>
      <c r="F44" s="139" t="s">
        <v>4</v>
      </c>
      <c r="G44" s="5" t="s">
        <v>5</v>
      </c>
      <c r="H44" s="135"/>
      <c r="I44" s="6"/>
      <c r="J44" s="142" t="s">
        <v>292</v>
      </c>
      <c r="K44" s="5" t="s">
        <v>1449</v>
      </c>
      <c r="L44" s="6" t="s">
        <v>6</v>
      </c>
      <c r="M44" s="6" t="s">
        <v>7</v>
      </c>
      <c r="N44" s="31">
        <v>875</v>
      </c>
      <c r="O44" s="31">
        <v>2125</v>
      </c>
      <c r="P44" s="16">
        <f t="shared" si="0"/>
        <v>1.859375</v>
      </c>
      <c r="Q44" s="13"/>
      <c r="R44" s="13"/>
      <c r="S44" s="13">
        <v>4.4000000000000004</v>
      </c>
      <c r="T44" s="13">
        <v>2.6</v>
      </c>
      <c r="U44" s="13"/>
      <c r="V44" s="13"/>
      <c r="W44" s="13"/>
      <c r="X44" s="47">
        <f t="shared" si="2"/>
        <v>9.5806250000000013</v>
      </c>
      <c r="Y44" s="13"/>
      <c r="Z44" s="14"/>
      <c r="AA44"/>
      <c r="AB44"/>
      <c r="AC44"/>
      <c r="AD44"/>
    </row>
    <row r="45" spans="1:30" s="15" customFormat="1" ht="45" x14ac:dyDescent="0.25">
      <c r="A45" s="139" t="s">
        <v>0</v>
      </c>
      <c r="B45" s="139" t="s">
        <v>228</v>
      </c>
      <c r="C45" s="139" t="s">
        <v>337</v>
      </c>
      <c r="D45" s="101" t="s">
        <v>338</v>
      </c>
      <c r="E45" s="165">
        <v>4.4000000000000004</v>
      </c>
      <c r="F45" s="139" t="s">
        <v>4</v>
      </c>
      <c r="G45" s="5" t="s">
        <v>5</v>
      </c>
      <c r="H45" s="134"/>
      <c r="I45" s="6"/>
      <c r="J45" s="142" t="s">
        <v>292</v>
      </c>
      <c r="K45" s="5" t="s">
        <v>1449</v>
      </c>
      <c r="L45" s="6" t="s">
        <v>6</v>
      </c>
      <c r="M45" s="6" t="s">
        <v>7</v>
      </c>
      <c r="N45" s="31">
        <v>3500</v>
      </c>
      <c r="O45" s="31">
        <v>2125</v>
      </c>
      <c r="P45" s="16">
        <f t="shared" si="0"/>
        <v>7.4375</v>
      </c>
      <c r="Q45" s="13"/>
      <c r="R45" s="13"/>
      <c r="S45" s="13">
        <v>9.3000000000000007</v>
      </c>
      <c r="T45" s="13">
        <v>2.6</v>
      </c>
      <c r="U45" s="13"/>
      <c r="V45" s="13"/>
      <c r="W45" s="13"/>
      <c r="X45" s="47">
        <f t="shared" si="2"/>
        <v>16.742500000000003</v>
      </c>
      <c r="Y45" s="13"/>
      <c r="Z45" s="14"/>
      <c r="AA45"/>
      <c r="AB45"/>
      <c r="AC45"/>
      <c r="AD45"/>
    </row>
    <row r="46" spans="1:30" s="15" customFormat="1" ht="45" x14ac:dyDescent="0.25">
      <c r="A46" s="139" t="s">
        <v>0</v>
      </c>
      <c r="B46" s="139" t="s">
        <v>228</v>
      </c>
      <c r="C46" s="139" t="s">
        <v>339</v>
      </c>
      <c r="D46" s="101" t="s">
        <v>65</v>
      </c>
      <c r="E46" s="165">
        <v>1.2</v>
      </c>
      <c r="F46" s="139" t="s">
        <v>4</v>
      </c>
      <c r="G46" s="5" t="s">
        <v>5</v>
      </c>
      <c r="H46" s="136"/>
      <c r="I46" s="6"/>
      <c r="J46" s="142" t="s">
        <v>292</v>
      </c>
      <c r="K46" s="5" t="s">
        <v>1449</v>
      </c>
      <c r="L46" s="6" t="s">
        <v>6</v>
      </c>
      <c r="M46" s="6" t="s">
        <v>7</v>
      </c>
      <c r="N46" s="31">
        <v>875</v>
      </c>
      <c r="O46" s="31">
        <v>2125</v>
      </c>
      <c r="P46" s="16">
        <f t="shared" si="0"/>
        <v>1.859375</v>
      </c>
      <c r="Q46" s="13"/>
      <c r="R46" s="13"/>
      <c r="S46" s="13">
        <v>4.4000000000000004</v>
      </c>
      <c r="T46" s="13">
        <v>2.6</v>
      </c>
      <c r="U46" s="13"/>
      <c r="V46" s="13"/>
      <c r="W46" s="13"/>
      <c r="X46" s="47">
        <f t="shared" si="2"/>
        <v>9.5806250000000013</v>
      </c>
      <c r="Y46" s="13"/>
      <c r="Z46" s="14"/>
      <c r="AA46"/>
      <c r="AB46"/>
      <c r="AC46"/>
      <c r="AD46"/>
    </row>
    <row r="47" spans="1:30" s="15" customFormat="1" ht="45" x14ac:dyDescent="0.25">
      <c r="A47" s="139" t="s">
        <v>0</v>
      </c>
      <c r="B47" s="139" t="s">
        <v>228</v>
      </c>
      <c r="C47" s="139" t="s">
        <v>340</v>
      </c>
      <c r="D47" s="101" t="s">
        <v>65</v>
      </c>
      <c r="E47" s="165">
        <v>1.2</v>
      </c>
      <c r="F47" s="139" t="s">
        <v>4</v>
      </c>
      <c r="G47" s="5" t="s">
        <v>5</v>
      </c>
      <c r="H47" s="134"/>
      <c r="I47" s="6"/>
      <c r="J47" s="142" t="s">
        <v>292</v>
      </c>
      <c r="K47" s="5" t="s">
        <v>1449</v>
      </c>
      <c r="L47" s="6" t="s">
        <v>6</v>
      </c>
      <c r="M47" s="6" t="s">
        <v>7</v>
      </c>
      <c r="N47" s="31">
        <v>875</v>
      </c>
      <c r="O47" s="31">
        <v>2125</v>
      </c>
      <c r="P47" s="16">
        <f t="shared" si="0"/>
        <v>1.859375</v>
      </c>
      <c r="Q47" s="13"/>
      <c r="R47" s="13"/>
      <c r="S47" s="13">
        <v>4.4000000000000004</v>
      </c>
      <c r="T47" s="13">
        <v>2.6</v>
      </c>
      <c r="U47" s="13"/>
      <c r="V47" s="13"/>
      <c r="W47" s="13"/>
      <c r="X47" s="47">
        <f t="shared" si="2"/>
        <v>9.5806250000000013</v>
      </c>
      <c r="Y47" s="13"/>
      <c r="Z47" s="14"/>
      <c r="AA47"/>
      <c r="AB47"/>
      <c r="AC47"/>
      <c r="AD47"/>
    </row>
    <row r="48" spans="1:30" s="15" customFormat="1" ht="45" x14ac:dyDescent="0.25">
      <c r="A48" s="139" t="s">
        <v>0</v>
      </c>
      <c r="B48" s="139" t="s">
        <v>228</v>
      </c>
      <c r="C48" s="139" t="s">
        <v>341</v>
      </c>
      <c r="D48" s="101" t="s">
        <v>65</v>
      </c>
      <c r="E48" s="165">
        <v>1.2</v>
      </c>
      <c r="F48" s="139" t="s">
        <v>4</v>
      </c>
      <c r="G48" s="5" t="s">
        <v>5</v>
      </c>
      <c r="H48" s="134"/>
      <c r="I48" s="6"/>
      <c r="J48" s="142" t="s">
        <v>292</v>
      </c>
      <c r="K48" s="5" t="s">
        <v>1449</v>
      </c>
      <c r="L48" s="6" t="s">
        <v>6</v>
      </c>
      <c r="M48" s="6" t="s">
        <v>7</v>
      </c>
      <c r="N48" s="31">
        <v>875</v>
      </c>
      <c r="O48" s="31">
        <v>2125</v>
      </c>
      <c r="P48" s="16">
        <f t="shared" si="0"/>
        <v>1.859375</v>
      </c>
      <c r="Q48" s="13"/>
      <c r="R48" s="13"/>
      <c r="S48" s="13">
        <v>4.4000000000000004</v>
      </c>
      <c r="T48" s="13">
        <v>2.6</v>
      </c>
      <c r="U48" s="13"/>
      <c r="V48" s="13"/>
      <c r="W48" s="13"/>
      <c r="X48" s="47">
        <f t="shared" si="2"/>
        <v>9.5806250000000013</v>
      </c>
      <c r="Y48" s="13"/>
      <c r="Z48" s="14"/>
      <c r="AA48"/>
      <c r="AB48"/>
      <c r="AC48"/>
      <c r="AD48"/>
    </row>
    <row r="49" spans="1:30" s="15" customFormat="1" ht="45" x14ac:dyDescent="0.25">
      <c r="A49" s="139" t="s">
        <v>0</v>
      </c>
      <c r="B49" s="139" t="s">
        <v>228</v>
      </c>
      <c r="C49" s="139" t="s">
        <v>342</v>
      </c>
      <c r="D49" s="101" t="s">
        <v>343</v>
      </c>
      <c r="E49" s="165">
        <v>7.9</v>
      </c>
      <c r="F49" s="139" t="s">
        <v>4</v>
      </c>
      <c r="G49" s="5" t="s">
        <v>5</v>
      </c>
      <c r="H49" s="134"/>
      <c r="I49" s="6"/>
      <c r="J49" s="142" t="s">
        <v>292</v>
      </c>
      <c r="K49" s="5" t="s">
        <v>1449</v>
      </c>
      <c r="L49" s="6" t="s">
        <v>6</v>
      </c>
      <c r="M49" s="6" t="s">
        <v>7</v>
      </c>
      <c r="N49" s="31">
        <v>1125</v>
      </c>
      <c r="O49" s="31">
        <v>2125</v>
      </c>
      <c r="P49" s="16">
        <f t="shared" si="0"/>
        <v>2.390625</v>
      </c>
      <c r="Q49" s="13"/>
      <c r="R49" s="13"/>
      <c r="S49" s="13">
        <v>10.15</v>
      </c>
      <c r="T49" s="13">
        <v>3</v>
      </c>
      <c r="U49" s="16">
        <f>S49*T49-P49-Q49-X49-Y49</f>
        <v>28.059375000000003</v>
      </c>
      <c r="V49" s="13"/>
      <c r="W49" s="13"/>
      <c r="X49" s="47"/>
      <c r="Y49" s="13"/>
      <c r="Z49" s="14"/>
      <c r="AA49"/>
      <c r="AB49"/>
      <c r="AC49"/>
      <c r="AD49"/>
    </row>
    <row r="50" spans="1:30" s="15" customFormat="1" ht="45" x14ac:dyDescent="0.25">
      <c r="A50" s="144" t="s">
        <v>0</v>
      </c>
      <c r="B50" s="144" t="s">
        <v>228</v>
      </c>
      <c r="C50" s="144" t="s">
        <v>344</v>
      </c>
      <c r="D50" s="156" t="s">
        <v>3</v>
      </c>
      <c r="E50" s="166">
        <v>3.8</v>
      </c>
      <c r="F50" s="144" t="s">
        <v>4</v>
      </c>
      <c r="G50" s="5" t="s">
        <v>5</v>
      </c>
      <c r="H50" s="134"/>
      <c r="I50" s="6"/>
      <c r="J50" s="142" t="s">
        <v>292</v>
      </c>
      <c r="K50" s="5" t="s">
        <v>1449</v>
      </c>
      <c r="L50" s="6" t="s">
        <v>10</v>
      </c>
      <c r="M50" s="6" t="s">
        <v>7</v>
      </c>
      <c r="N50" s="31">
        <v>4375</v>
      </c>
      <c r="O50" s="31">
        <v>2125</v>
      </c>
      <c r="P50" s="16">
        <f t="shared" si="0"/>
        <v>9.296875</v>
      </c>
      <c r="Q50" s="13"/>
      <c r="R50" s="13"/>
      <c r="S50" s="13">
        <v>8.75</v>
      </c>
      <c r="T50" s="13">
        <v>2.6</v>
      </c>
      <c r="U50" s="13"/>
      <c r="V50" s="13"/>
      <c r="W50" s="13"/>
      <c r="X50" s="47">
        <f t="shared" ref="X50:X58" si="3">S50*T50-P50-Q50-Y50</f>
        <v>13.453125</v>
      </c>
      <c r="Y50" s="13"/>
      <c r="Z50" s="14"/>
      <c r="AA50"/>
      <c r="AB50"/>
      <c r="AC50"/>
      <c r="AD50"/>
    </row>
    <row r="51" spans="1:30" s="15" customFormat="1" ht="45" x14ac:dyDescent="0.25">
      <c r="A51" s="144" t="s">
        <v>0</v>
      </c>
      <c r="B51" s="144" t="s">
        <v>228</v>
      </c>
      <c r="C51" s="144" t="s">
        <v>345</v>
      </c>
      <c r="D51" s="156" t="s">
        <v>65</v>
      </c>
      <c r="E51" s="166">
        <v>1.5</v>
      </c>
      <c r="F51" s="144" t="s">
        <v>4</v>
      </c>
      <c r="G51" s="5" t="s">
        <v>5</v>
      </c>
      <c r="H51" s="134"/>
      <c r="I51" s="6"/>
      <c r="J51" s="142" t="s">
        <v>292</v>
      </c>
      <c r="K51" s="5" t="s">
        <v>1449</v>
      </c>
      <c r="L51" s="157" t="s">
        <v>81</v>
      </c>
      <c r="M51" s="157" t="s">
        <v>7</v>
      </c>
      <c r="N51" s="158">
        <v>875</v>
      </c>
      <c r="O51" s="31">
        <v>2125</v>
      </c>
      <c r="P51" s="16">
        <f t="shared" si="0"/>
        <v>1.859375</v>
      </c>
      <c r="Q51" s="13"/>
      <c r="R51" s="13"/>
      <c r="S51" s="13">
        <v>4.5</v>
      </c>
      <c r="T51" s="13">
        <v>2.6</v>
      </c>
      <c r="U51" s="13"/>
      <c r="V51" s="13"/>
      <c r="W51" s="13"/>
      <c r="X51" s="47">
        <f t="shared" si="3"/>
        <v>9.8406250000000011</v>
      </c>
      <c r="Y51" s="13"/>
      <c r="Z51" s="14"/>
      <c r="AA51"/>
      <c r="AB51"/>
      <c r="AC51"/>
      <c r="AD51"/>
    </row>
    <row r="52" spans="1:30" s="15" customFormat="1" ht="45" x14ac:dyDescent="0.25">
      <c r="A52" s="144" t="s">
        <v>0</v>
      </c>
      <c r="B52" s="144" t="s">
        <v>228</v>
      </c>
      <c r="C52" s="144" t="s">
        <v>346</v>
      </c>
      <c r="D52" s="159" t="s">
        <v>65</v>
      </c>
      <c r="E52" s="166">
        <v>1.5</v>
      </c>
      <c r="F52" s="144" t="s">
        <v>4</v>
      </c>
      <c r="G52" s="5" t="s">
        <v>5</v>
      </c>
      <c r="H52" s="134"/>
      <c r="I52" s="6"/>
      <c r="J52" s="142" t="s">
        <v>292</v>
      </c>
      <c r="K52" s="5" t="s">
        <v>1449</v>
      </c>
      <c r="L52" s="157" t="s">
        <v>6</v>
      </c>
      <c r="M52" s="157" t="s">
        <v>7</v>
      </c>
      <c r="N52" s="158">
        <v>875</v>
      </c>
      <c r="O52" s="31">
        <v>2125</v>
      </c>
      <c r="P52" s="16">
        <f t="shared" si="0"/>
        <v>1.859375</v>
      </c>
      <c r="Q52" s="13"/>
      <c r="R52" s="13"/>
      <c r="S52" s="13">
        <v>4.5</v>
      </c>
      <c r="T52" s="13">
        <v>2.6</v>
      </c>
      <c r="U52" s="13"/>
      <c r="V52" s="13"/>
      <c r="W52" s="13"/>
      <c r="X52" s="47">
        <f t="shared" si="3"/>
        <v>9.8406250000000011</v>
      </c>
      <c r="Y52" s="13"/>
      <c r="Z52" s="14"/>
      <c r="AA52"/>
      <c r="AB52"/>
      <c r="AC52"/>
      <c r="AD52"/>
    </row>
    <row r="53" spans="1:30" s="15" customFormat="1" ht="45" x14ac:dyDescent="0.25">
      <c r="A53" s="144" t="s">
        <v>0</v>
      </c>
      <c r="B53" s="144" t="s">
        <v>228</v>
      </c>
      <c r="C53" s="144" t="s">
        <v>347</v>
      </c>
      <c r="D53" s="156" t="s">
        <v>220</v>
      </c>
      <c r="E53" s="166">
        <v>1.5</v>
      </c>
      <c r="F53" s="144" t="s">
        <v>4</v>
      </c>
      <c r="G53" s="5" t="s">
        <v>5</v>
      </c>
      <c r="H53" s="134"/>
      <c r="I53" s="6"/>
      <c r="J53" s="142" t="s">
        <v>292</v>
      </c>
      <c r="K53" s="5" t="s">
        <v>1449</v>
      </c>
      <c r="L53" s="157" t="s">
        <v>81</v>
      </c>
      <c r="M53" s="157" t="s">
        <v>7</v>
      </c>
      <c r="N53" s="158">
        <v>2675</v>
      </c>
      <c r="O53" s="31">
        <v>2125</v>
      </c>
      <c r="P53" s="16">
        <f t="shared" si="0"/>
        <v>5.6843750000000002</v>
      </c>
      <c r="Q53" s="13"/>
      <c r="R53" s="13"/>
      <c r="S53" s="13">
        <v>5</v>
      </c>
      <c r="T53" s="13">
        <v>2.6</v>
      </c>
      <c r="U53" s="13"/>
      <c r="V53" s="13"/>
      <c r="W53" s="13"/>
      <c r="X53" s="47">
        <f t="shared" si="3"/>
        <v>7.3156249999999998</v>
      </c>
      <c r="Y53" s="13"/>
      <c r="Z53" s="14"/>
      <c r="AA53"/>
      <c r="AB53"/>
      <c r="AC53"/>
      <c r="AD53"/>
    </row>
    <row r="54" spans="1:30" s="15" customFormat="1" ht="90" x14ac:dyDescent="0.25">
      <c r="A54" s="144" t="s">
        <v>0</v>
      </c>
      <c r="B54" s="144" t="s">
        <v>228</v>
      </c>
      <c r="C54" s="144" t="s">
        <v>348</v>
      </c>
      <c r="D54" s="156" t="s">
        <v>140</v>
      </c>
      <c r="E54" s="166">
        <v>7.8</v>
      </c>
      <c r="F54" s="144" t="s">
        <v>4</v>
      </c>
      <c r="G54" s="5" t="s">
        <v>5</v>
      </c>
      <c r="H54" s="260"/>
      <c r="I54" s="6"/>
      <c r="J54" s="142" t="s">
        <v>292</v>
      </c>
      <c r="K54" s="95" t="s">
        <v>2035</v>
      </c>
      <c r="L54" s="157" t="s">
        <v>81</v>
      </c>
      <c r="M54" s="157" t="s">
        <v>7</v>
      </c>
      <c r="N54" s="158">
        <v>2625</v>
      </c>
      <c r="O54" s="31">
        <v>2125</v>
      </c>
      <c r="P54" s="16">
        <f t="shared" si="0"/>
        <v>5.578125</v>
      </c>
      <c r="Q54" s="13"/>
      <c r="R54" s="13"/>
      <c r="S54" s="13">
        <v>10.324999999999999</v>
      </c>
      <c r="T54" s="13">
        <v>2.6</v>
      </c>
      <c r="U54" s="13"/>
      <c r="V54" s="13"/>
      <c r="W54" s="13"/>
      <c r="X54" s="47">
        <f t="shared" si="3"/>
        <v>21.266874999999999</v>
      </c>
      <c r="Y54" s="13"/>
      <c r="Z54" s="14"/>
      <c r="AA54"/>
      <c r="AB54"/>
      <c r="AC54"/>
      <c r="AD54"/>
    </row>
    <row r="55" spans="1:30" s="15" customFormat="1" ht="90" x14ac:dyDescent="0.25">
      <c r="A55" s="144" t="s">
        <v>0</v>
      </c>
      <c r="B55" s="144" t="s">
        <v>228</v>
      </c>
      <c r="C55" s="144" t="s">
        <v>349</v>
      </c>
      <c r="D55" s="156" t="s">
        <v>350</v>
      </c>
      <c r="E55" s="167">
        <v>1.74</v>
      </c>
      <c r="F55" s="144" t="s">
        <v>4</v>
      </c>
      <c r="G55" s="5" t="s">
        <v>5</v>
      </c>
      <c r="H55" s="260"/>
      <c r="I55" s="6"/>
      <c r="J55" s="142" t="s">
        <v>292</v>
      </c>
      <c r="K55" s="95" t="s">
        <v>2035</v>
      </c>
      <c r="L55" s="157" t="s">
        <v>81</v>
      </c>
      <c r="M55" s="157" t="s">
        <v>7</v>
      </c>
      <c r="N55" s="158">
        <v>875</v>
      </c>
      <c r="O55" s="31">
        <v>2125</v>
      </c>
      <c r="P55" s="16">
        <f t="shared" si="0"/>
        <v>1.859375</v>
      </c>
      <c r="Q55" s="13"/>
      <c r="R55" s="13"/>
      <c r="S55" s="13">
        <v>5.3</v>
      </c>
      <c r="T55" s="13">
        <v>2.6</v>
      </c>
      <c r="U55" s="13"/>
      <c r="V55" s="13"/>
      <c r="W55" s="13"/>
      <c r="X55" s="47">
        <f t="shared" si="3"/>
        <v>11.920624999999999</v>
      </c>
      <c r="Y55" s="13"/>
      <c r="Z55" s="14"/>
      <c r="AA55"/>
      <c r="AB55"/>
      <c r="AC55"/>
      <c r="AD55"/>
    </row>
    <row r="56" spans="1:30" s="15" customFormat="1" ht="45" x14ac:dyDescent="0.25">
      <c r="A56" s="144" t="s">
        <v>0</v>
      </c>
      <c r="B56" s="144" t="s">
        <v>228</v>
      </c>
      <c r="C56" s="144" t="s">
        <v>351</v>
      </c>
      <c r="D56" s="156" t="s">
        <v>3</v>
      </c>
      <c r="E56" s="167">
        <v>4.8</v>
      </c>
      <c r="F56" s="144" t="s">
        <v>4</v>
      </c>
      <c r="G56" s="5" t="s">
        <v>5</v>
      </c>
      <c r="H56" s="134"/>
      <c r="I56" s="6"/>
      <c r="J56" s="142" t="s">
        <v>292</v>
      </c>
      <c r="K56" s="5" t="s">
        <v>1449</v>
      </c>
      <c r="L56" s="157" t="s">
        <v>81</v>
      </c>
      <c r="M56" s="157" t="s">
        <v>7</v>
      </c>
      <c r="N56" s="158">
        <v>2625</v>
      </c>
      <c r="O56" s="31">
        <v>2125</v>
      </c>
      <c r="P56" s="16">
        <f t="shared" si="0"/>
        <v>5.578125</v>
      </c>
      <c r="Q56" s="13"/>
      <c r="R56" s="13"/>
      <c r="S56" s="13">
        <v>10.164999999999999</v>
      </c>
      <c r="T56" s="13">
        <v>2.6</v>
      </c>
      <c r="U56" s="13"/>
      <c r="V56" s="13"/>
      <c r="W56" s="13"/>
      <c r="X56" s="47">
        <f t="shared" si="3"/>
        <v>20.850874999999998</v>
      </c>
      <c r="Y56" s="13"/>
      <c r="Z56" s="14"/>
      <c r="AA56"/>
      <c r="AB56"/>
      <c r="AC56"/>
      <c r="AD56"/>
    </row>
    <row r="57" spans="1:30" s="15" customFormat="1" ht="90" x14ac:dyDescent="0.25">
      <c r="A57" s="144" t="s">
        <v>0</v>
      </c>
      <c r="B57" s="144" t="s">
        <v>228</v>
      </c>
      <c r="C57" s="144" t="s">
        <v>352</v>
      </c>
      <c r="D57" s="156" t="s">
        <v>9</v>
      </c>
      <c r="E57" s="166">
        <v>2</v>
      </c>
      <c r="F57" s="144" t="s">
        <v>4</v>
      </c>
      <c r="G57" s="5" t="s">
        <v>5</v>
      </c>
      <c r="H57" s="134"/>
      <c r="I57" s="6"/>
      <c r="J57" s="142" t="s">
        <v>292</v>
      </c>
      <c r="K57" s="95" t="s">
        <v>2035</v>
      </c>
      <c r="L57" s="157" t="s">
        <v>6</v>
      </c>
      <c r="M57" s="157" t="s">
        <v>7</v>
      </c>
      <c r="N57" s="158">
        <v>875</v>
      </c>
      <c r="O57" s="31">
        <v>2125</v>
      </c>
      <c r="P57" s="16">
        <f t="shared" si="0"/>
        <v>1.859375</v>
      </c>
      <c r="Q57" s="13"/>
      <c r="R57" s="13"/>
      <c r="S57" s="13">
        <v>5.8</v>
      </c>
      <c r="T57" s="13">
        <v>2.6</v>
      </c>
      <c r="U57" s="13"/>
      <c r="V57" s="13"/>
      <c r="W57" s="13"/>
      <c r="X57" s="47">
        <f t="shared" si="3"/>
        <v>13.220625</v>
      </c>
      <c r="Y57" s="13"/>
      <c r="Z57" s="14"/>
      <c r="AA57"/>
      <c r="AB57"/>
      <c r="AC57"/>
      <c r="AD57"/>
    </row>
    <row r="58" spans="1:30" s="15" customFormat="1" ht="45" x14ac:dyDescent="0.25">
      <c r="A58" s="144" t="s">
        <v>0</v>
      </c>
      <c r="B58" s="144" t="s">
        <v>228</v>
      </c>
      <c r="C58" s="144" t="s">
        <v>353</v>
      </c>
      <c r="D58" s="156" t="s">
        <v>220</v>
      </c>
      <c r="E58" s="166">
        <v>1.5</v>
      </c>
      <c r="F58" s="144" t="s">
        <v>4</v>
      </c>
      <c r="G58" s="5" t="s">
        <v>5</v>
      </c>
      <c r="H58" s="133"/>
      <c r="I58" s="6"/>
      <c r="J58" s="142" t="s">
        <v>292</v>
      </c>
      <c r="K58" s="5" t="s">
        <v>1449</v>
      </c>
      <c r="L58" s="157" t="s">
        <v>81</v>
      </c>
      <c r="M58" s="157" t="s">
        <v>7</v>
      </c>
      <c r="N58" s="158">
        <v>875</v>
      </c>
      <c r="O58" s="31">
        <v>2125</v>
      </c>
      <c r="P58" s="16">
        <f t="shared" si="0"/>
        <v>1.859375</v>
      </c>
      <c r="Q58" s="13"/>
      <c r="R58" s="13"/>
      <c r="S58" s="13">
        <v>4.9400000000000004</v>
      </c>
      <c r="T58" s="13">
        <v>2.6</v>
      </c>
      <c r="U58" s="13"/>
      <c r="V58" s="13"/>
      <c r="W58" s="13"/>
      <c r="X58" s="47">
        <f t="shared" si="3"/>
        <v>10.984625000000001</v>
      </c>
      <c r="Y58" s="13"/>
      <c r="Z58" s="14"/>
      <c r="AA58"/>
      <c r="AB58"/>
      <c r="AC58"/>
      <c r="AD58"/>
    </row>
    <row r="59" spans="1:30" s="15" customFormat="1" ht="45" x14ac:dyDescent="0.25">
      <c r="A59" s="145" t="s">
        <v>0</v>
      </c>
      <c r="B59" s="145" t="s">
        <v>228</v>
      </c>
      <c r="C59" s="145" t="s">
        <v>354</v>
      </c>
      <c r="D59" s="100" t="s">
        <v>319</v>
      </c>
      <c r="E59" s="168">
        <v>9.3000000000000007</v>
      </c>
      <c r="F59" s="145" t="s">
        <v>4</v>
      </c>
      <c r="G59" s="5" t="s">
        <v>5</v>
      </c>
      <c r="H59" s="133"/>
      <c r="I59" s="6"/>
      <c r="J59" s="142" t="s">
        <v>292</v>
      </c>
      <c r="K59" s="5" t="s">
        <v>1449</v>
      </c>
      <c r="L59" s="157" t="s">
        <v>81</v>
      </c>
      <c r="M59" s="157" t="s">
        <v>7</v>
      </c>
      <c r="N59" s="158">
        <v>900</v>
      </c>
      <c r="O59" s="31">
        <v>2125</v>
      </c>
      <c r="P59" s="16">
        <f t="shared" si="0"/>
        <v>1.9124999999999999</v>
      </c>
      <c r="Q59" s="13"/>
      <c r="R59" s="13"/>
      <c r="S59" s="13">
        <v>12.2</v>
      </c>
      <c r="T59" s="13">
        <v>3</v>
      </c>
      <c r="U59" s="16">
        <f>S59*T59-P59-Q59-X59-Y59</f>
        <v>28.317499999999992</v>
      </c>
      <c r="V59" s="13"/>
      <c r="W59" s="13"/>
      <c r="X59" s="13"/>
      <c r="Y59" s="13">
        <v>6.37</v>
      </c>
      <c r="Z59" s="14"/>
      <c r="AA59"/>
      <c r="AB59"/>
      <c r="AC59"/>
      <c r="AD59"/>
    </row>
    <row r="60" spans="1:30" s="15" customFormat="1" ht="45" x14ac:dyDescent="0.25">
      <c r="A60" s="145" t="s">
        <v>0</v>
      </c>
      <c r="B60" s="145" t="s">
        <v>228</v>
      </c>
      <c r="C60" s="145" t="s">
        <v>355</v>
      </c>
      <c r="D60" s="100" t="s">
        <v>356</v>
      </c>
      <c r="E60" s="168">
        <v>5.6</v>
      </c>
      <c r="F60" s="145" t="s">
        <v>4</v>
      </c>
      <c r="G60" s="5" t="s">
        <v>5</v>
      </c>
      <c r="H60" s="133"/>
      <c r="I60" s="6"/>
      <c r="J60" s="142" t="s">
        <v>292</v>
      </c>
      <c r="K60" s="5" t="s">
        <v>1449</v>
      </c>
      <c r="L60" s="160" t="s">
        <v>10</v>
      </c>
      <c r="M60" s="160" t="s">
        <v>7</v>
      </c>
      <c r="N60" s="161">
        <v>900</v>
      </c>
      <c r="O60" s="31">
        <v>2125</v>
      </c>
      <c r="P60" s="16">
        <f t="shared" si="0"/>
        <v>1.9124999999999999</v>
      </c>
      <c r="Q60" s="13"/>
      <c r="R60" s="13"/>
      <c r="S60" s="13">
        <v>9.65</v>
      </c>
      <c r="T60" s="13">
        <v>2.7</v>
      </c>
      <c r="U60" s="16">
        <f>S60*T60-P60-Q60-X60-Y60</f>
        <v>22.142500000000002</v>
      </c>
      <c r="V60" s="13"/>
      <c r="W60" s="13"/>
      <c r="X60" s="13">
        <v>2</v>
      </c>
      <c r="Y60" s="13"/>
      <c r="Z60" s="14"/>
      <c r="AA60"/>
      <c r="AB60"/>
      <c r="AC60"/>
      <c r="AD60"/>
    </row>
    <row r="61" spans="1:30" s="15" customFormat="1" ht="90" x14ac:dyDescent="0.25">
      <c r="A61" s="144" t="s">
        <v>0</v>
      </c>
      <c r="B61" s="144" t="s">
        <v>228</v>
      </c>
      <c r="C61" s="144" t="s">
        <v>357</v>
      </c>
      <c r="D61" s="156" t="s">
        <v>358</v>
      </c>
      <c r="E61" s="166">
        <v>24.59</v>
      </c>
      <c r="F61" s="144" t="s">
        <v>4</v>
      </c>
      <c r="G61" s="5" t="s">
        <v>5</v>
      </c>
      <c r="H61" s="133"/>
      <c r="I61" s="6"/>
      <c r="J61" s="142" t="s">
        <v>292</v>
      </c>
      <c r="K61" s="95" t="s">
        <v>2035</v>
      </c>
      <c r="L61" s="160" t="s">
        <v>10</v>
      </c>
      <c r="M61" s="160" t="s">
        <v>7</v>
      </c>
      <c r="N61" s="161">
        <v>2375</v>
      </c>
      <c r="O61" s="31">
        <v>2125</v>
      </c>
      <c r="P61" s="16">
        <f t="shared" si="0"/>
        <v>5.046875</v>
      </c>
      <c r="Q61" s="13"/>
      <c r="R61" s="13"/>
      <c r="S61" s="13">
        <v>25.46</v>
      </c>
      <c r="T61" s="13">
        <v>3</v>
      </c>
      <c r="U61" s="13"/>
      <c r="V61" s="13"/>
      <c r="W61" s="13"/>
      <c r="X61" s="47">
        <f>S61*T61-P61-Q61-Y61</f>
        <v>71.333124999999995</v>
      </c>
      <c r="Y61" s="13"/>
      <c r="Z61" s="14"/>
      <c r="AA61"/>
      <c r="AB61"/>
      <c r="AC61"/>
      <c r="AD61"/>
    </row>
    <row r="62" spans="1:30" s="15" customFormat="1" ht="183.75" customHeight="1" x14ac:dyDescent="0.25">
      <c r="A62" s="144" t="s">
        <v>0</v>
      </c>
      <c r="B62" s="144" t="s">
        <v>228</v>
      </c>
      <c r="C62" s="144" t="s">
        <v>359</v>
      </c>
      <c r="D62" s="156" t="s">
        <v>358</v>
      </c>
      <c r="E62" s="169">
        <v>78.48</v>
      </c>
      <c r="F62" s="144" t="s">
        <v>4</v>
      </c>
      <c r="G62" s="5" t="s">
        <v>5</v>
      </c>
      <c r="H62" s="133"/>
      <c r="I62" s="6"/>
      <c r="J62" s="142" t="s">
        <v>292</v>
      </c>
      <c r="K62" s="95" t="s">
        <v>2036</v>
      </c>
      <c r="L62" s="157" t="s">
        <v>81</v>
      </c>
      <c r="M62" s="157" t="s">
        <v>7</v>
      </c>
      <c r="N62" s="158">
        <v>875</v>
      </c>
      <c r="O62" s="31">
        <v>2125</v>
      </c>
      <c r="P62" s="16">
        <f t="shared" si="0"/>
        <v>1.859375</v>
      </c>
      <c r="Q62" s="13"/>
      <c r="R62" s="13"/>
      <c r="S62" s="13">
        <v>37.25</v>
      </c>
      <c r="T62" s="13">
        <v>3.8</v>
      </c>
      <c r="U62" s="13"/>
      <c r="V62" s="13"/>
      <c r="W62" s="13"/>
      <c r="X62" s="47">
        <f>S62*T62-P62-Q62-Y62</f>
        <v>134.59062499999999</v>
      </c>
      <c r="Y62" s="13">
        <v>5.0999999999999996</v>
      </c>
      <c r="Z62" s="14"/>
      <c r="AA62"/>
      <c r="AB62"/>
      <c r="AC62"/>
      <c r="AD62"/>
    </row>
    <row r="63" spans="1:30" s="15" customFormat="1" ht="45.75" thickBot="1" x14ac:dyDescent="0.3">
      <c r="A63" s="224" t="s">
        <v>0</v>
      </c>
      <c r="B63" s="224" t="s">
        <v>228</v>
      </c>
      <c r="C63" s="224" t="s">
        <v>360</v>
      </c>
      <c r="D63" s="254" t="s">
        <v>3</v>
      </c>
      <c r="E63" s="227">
        <v>6.5</v>
      </c>
      <c r="F63" s="224" t="s">
        <v>4</v>
      </c>
      <c r="G63" s="18" t="s">
        <v>5</v>
      </c>
      <c r="H63" s="208"/>
      <c r="I63" s="19"/>
      <c r="J63" s="256" t="s">
        <v>292</v>
      </c>
      <c r="K63" s="18" t="s">
        <v>78</v>
      </c>
      <c r="L63" s="257" t="s">
        <v>6</v>
      </c>
      <c r="M63" s="257" t="s">
        <v>7</v>
      </c>
      <c r="N63" s="340">
        <v>3000</v>
      </c>
      <c r="O63" s="336">
        <v>2125</v>
      </c>
      <c r="P63" s="39">
        <f t="shared" si="0"/>
        <v>6.375</v>
      </c>
      <c r="Q63" s="325"/>
      <c r="R63" s="325"/>
      <c r="S63" s="325">
        <v>10.3</v>
      </c>
      <c r="T63" s="325">
        <v>3</v>
      </c>
      <c r="U63" s="325">
        <f>S63*T63-P63-Q63-X63-Y63</f>
        <v>7.9250000000000007</v>
      </c>
      <c r="V63" s="325"/>
      <c r="W63" s="325"/>
      <c r="X63" s="325">
        <f>(S63-N63/1000)*2.1</f>
        <v>15.330000000000002</v>
      </c>
      <c r="Y63" s="325">
        <v>1.27</v>
      </c>
      <c r="Z63" s="14"/>
      <c r="AA63"/>
      <c r="AB63"/>
      <c r="AC63"/>
      <c r="AD63"/>
    </row>
    <row r="64" spans="1:30" ht="18" thickTop="1" x14ac:dyDescent="0.25">
      <c r="B64" s="280" t="s">
        <v>274</v>
      </c>
      <c r="E64" s="298">
        <f>SUM(E5:E63)</f>
        <v>847.82</v>
      </c>
      <c r="F64" s="284" t="s">
        <v>1560</v>
      </c>
    </row>
    <row r="65" spans="2:11" s="284" customFormat="1" x14ac:dyDescent="0.25">
      <c r="E65" s="298"/>
      <c r="H65" s="338"/>
      <c r="K65" s="305"/>
    </row>
    <row r="66" spans="2:11" x14ac:dyDescent="0.25">
      <c r="B66" s="300"/>
      <c r="C66" s="186"/>
      <c r="D66" s="186"/>
      <c r="E66" s="299"/>
      <c r="F66" s="300"/>
    </row>
    <row r="68" spans="2:11" x14ac:dyDescent="0.25">
      <c r="C68" s="278" t="s">
        <v>1807</v>
      </c>
      <c r="D68" s="342"/>
      <c r="E68" s="358"/>
      <c r="F68" s="65"/>
    </row>
    <row r="69" spans="2:11" ht="17.25" x14ac:dyDescent="0.25">
      <c r="C69" s="65"/>
      <c r="D69" s="358" t="s">
        <v>1808</v>
      </c>
      <c r="E69" s="345">
        <f>SUM(E11:E63)</f>
        <v>724.11000000000013</v>
      </c>
      <c r="F69" s="342" t="s">
        <v>1560</v>
      </c>
    </row>
    <row r="70" spans="2:11" ht="17.25" x14ac:dyDescent="0.25">
      <c r="C70" s="65"/>
      <c r="D70" s="358" t="s">
        <v>37</v>
      </c>
      <c r="E70" s="345">
        <v>0</v>
      </c>
      <c r="F70" s="342" t="s">
        <v>1560</v>
      </c>
    </row>
    <row r="71" spans="2:11" ht="17.25" x14ac:dyDescent="0.25">
      <c r="C71" s="65"/>
      <c r="D71" s="358" t="s">
        <v>77</v>
      </c>
      <c r="E71" s="345">
        <v>0</v>
      </c>
      <c r="F71" s="342" t="s">
        <v>1560</v>
      </c>
    </row>
    <row r="72" spans="2:11" ht="17.25" x14ac:dyDescent="0.25">
      <c r="C72" s="65"/>
      <c r="D72" s="358" t="s">
        <v>229</v>
      </c>
      <c r="E72" s="345">
        <f>SUM(E5:E10)</f>
        <v>123.71000000000001</v>
      </c>
      <c r="F72" s="342" t="s">
        <v>1560</v>
      </c>
    </row>
    <row r="73" spans="2:11" ht="17.25" x14ac:dyDescent="0.25">
      <c r="C73" s="65"/>
      <c r="D73" s="359" t="s">
        <v>274</v>
      </c>
      <c r="E73" s="345">
        <f>SUM(E69:E72)</f>
        <v>847.82000000000016</v>
      </c>
      <c r="F73" s="342" t="s">
        <v>1560</v>
      </c>
    </row>
    <row r="74" spans="2:11" x14ac:dyDescent="0.25">
      <c r="C74" s="65"/>
      <c r="D74" s="359"/>
      <c r="E74" s="345"/>
      <c r="F74" s="342"/>
    </row>
    <row r="75" spans="2:11" x14ac:dyDescent="0.25">
      <c r="C75" s="284" t="s">
        <v>1970</v>
      </c>
    </row>
    <row r="76" spans="2:11" x14ac:dyDescent="0.25">
      <c r="C76" s="504" t="s">
        <v>1968</v>
      </c>
      <c r="D76" s="305"/>
      <c r="E76" s="503" t="s">
        <v>1980</v>
      </c>
    </row>
    <row r="77" spans="2:11" x14ac:dyDescent="0.25">
      <c r="C77" s="284" t="s">
        <v>1964</v>
      </c>
      <c r="D77" s="305"/>
      <c r="E77" s="295" t="s">
        <v>1965</v>
      </c>
    </row>
    <row r="78" spans="2:11" x14ac:dyDescent="0.25">
      <c r="C78" s="284" t="s">
        <v>2087</v>
      </c>
      <c r="D78" s="305"/>
    </row>
  </sheetData>
  <sheetProtection password="87E5" sheet="1" objects="1" scenarios="1" selectLockedCells="1" selectUnlockedCells="1"/>
  <mergeCells count="26">
    <mergeCell ref="A1:F2"/>
    <mergeCell ref="G1:G4"/>
    <mergeCell ref="I1:I4"/>
    <mergeCell ref="J1:J4"/>
    <mergeCell ref="A3:A4"/>
    <mergeCell ref="B3:B4"/>
    <mergeCell ref="C3:C4"/>
    <mergeCell ref="D3:D4"/>
    <mergeCell ref="E3:F4"/>
    <mergeCell ref="H1:H4"/>
    <mergeCell ref="K1:K4"/>
    <mergeCell ref="T1:T4"/>
    <mergeCell ref="U1:X1"/>
    <mergeCell ref="Y1:Y4"/>
    <mergeCell ref="U2:V2"/>
    <mergeCell ref="W2:X2"/>
    <mergeCell ref="L1:L4"/>
    <mergeCell ref="M1:O4"/>
    <mergeCell ref="P1:P4"/>
    <mergeCell ref="Q1:Q4"/>
    <mergeCell ref="R1:R4"/>
    <mergeCell ref="X3:X4"/>
    <mergeCell ref="U3:U4"/>
    <mergeCell ref="V3:V4"/>
    <mergeCell ref="W3:W4"/>
    <mergeCell ref="S1:S4"/>
  </mergeCells>
  <dataValidations count="1">
    <dataValidation type="list" allowBlank="1" showInputMessage="1" showErrorMessage="1" sqref="G5:G63">
      <formula1>kat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63" fitToHeight="0" orientation="landscape" r:id="rId1"/>
  <headerFooter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zoomScale="80" zoomScaleNormal="80" workbookViewId="0">
      <pane xSplit="7" ySplit="4" topLeftCell="H29" activePane="bottomRight" state="frozen"/>
      <selection pane="topRight" activeCell="H1" sqref="H1"/>
      <selection pane="bottomLeft" activeCell="A5" sqref="A5"/>
      <selection pane="bottomRight" activeCell="J44" sqref="J44"/>
    </sheetView>
  </sheetViews>
  <sheetFormatPr defaultRowHeight="15" x14ac:dyDescent="0.25"/>
  <cols>
    <col min="1" max="1" width="5.140625" bestFit="1" customWidth="1"/>
    <col min="2" max="2" width="6.5703125" bestFit="1" customWidth="1"/>
    <col min="3" max="3" width="10.42578125" bestFit="1" customWidth="1"/>
    <col min="4" max="4" width="25" customWidth="1"/>
    <col min="5" max="5" width="7.140625" bestFit="1" customWidth="1"/>
    <col min="6" max="6" width="4.140625" bestFit="1" customWidth="1"/>
    <col min="7" max="7" width="15.7109375" customWidth="1"/>
    <col min="8" max="8" width="9.42578125" customWidth="1"/>
    <col min="9" max="9" width="11.28515625" customWidth="1"/>
    <col min="10" max="10" width="21" customWidth="1"/>
    <col min="11" max="11" width="10" customWidth="1"/>
    <col min="12" max="12" width="23.28515625" customWidth="1"/>
    <col min="13" max="13" width="9.140625" style="64"/>
    <col min="14" max="14" width="7.7109375" customWidth="1"/>
    <col min="15" max="15" width="7.140625" customWidth="1"/>
    <col min="16" max="16" width="6" customWidth="1"/>
    <col min="17" max="17" width="6.85546875" customWidth="1"/>
    <col min="18" max="18" width="7.85546875" customWidth="1"/>
    <col min="19" max="19" width="9" customWidth="1"/>
    <col min="20" max="20" width="7.85546875" customWidth="1"/>
    <col min="21" max="21" width="7.140625" customWidth="1"/>
    <col min="22" max="22" width="7.85546875" customWidth="1"/>
    <col min="23" max="23" width="5.85546875" customWidth="1"/>
    <col min="24" max="24" width="7.28515625" customWidth="1"/>
    <col min="25" max="25" width="8.140625" customWidth="1"/>
    <col min="26" max="26" width="9.140625" customWidth="1"/>
  </cols>
  <sheetData>
    <row r="1" spans="1:26" s="15" customFormat="1" ht="15" customHeight="1" x14ac:dyDescent="0.25">
      <c r="A1" s="656" t="s">
        <v>743</v>
      </c>
      <c r="B1" s="657"/>
      <c r="C1" s="657"/>
      <c r="D1" s="657"/>
      <c r="E1" s="657"/>
      <c r="F1" s="657"/>
      <c r="G1" s="621" t="s">
        <v>112</v>
      </c>
      <c r="H1" s="639" t="s">
        <v>1999</v>
      </c>
      <c r="I1" s="639" t="s">
        <v>2000</v>
      </c>
      <c r="J1" s="621" t="s">
        <v>113</v>
      </c>
      <c r="K1" s="621" t="s">
        <v>114</v>
      </c>
      <c r="L1" s="621" t="s">
        <v>744</v>
      </c>
      <c r="M1" s="651" t="s">
        <v>1561</v>
      </c>
      <c r="N1" s="651" t="s">
        <v>116</v>
      </c>
      <c r="O1" s="651"/>
      <c r="P1" s="651"/>
      <c r="Q1" s="653" t="s">
        <v>117</v>
      </c>
      <c r="R1" s="621" t="s">
        <v>118</v>
      </c>
      <c r="S1" s="621" t="s">
        <v>1563</v>
      </c>
      <c r="T1" s="621" t="s">
        <v>120</v>
      </c>
      <c r="U1" s="621" t="s">
        <v>121</v>
      </c>
      <c r="V1" s="621" t="s">
        <v>122</v>
      </c>
      <c r="W1" s="621"/>
      <c r="X1" s="621"/>
      <c r="Y1" s="621"/>
      <c r="Z1" s="648" t="s">
        <v>1513</v>
      </c>
    </row>
    <row r="2" spans="1:26" s="15" customFormat="1" ht="15" customHeight="1" x14ac:dyDescent="0.25">
      <c r="A2" s="658"/>
      <c r="B2" s="659"/>
      <c r="C2" s="659"/>
      <c r="D2" s="659"/>
      <c r="E2" s="659"/>
      <c r="F2" s="659"/>
      <c r="G2" s="619"/>
      <c r="H2" s="640"/>
      <c r="I2" s="640"/>
      <c r="J2" s="619"/>
      <c r="K2" s="619"/>
      <c r="L2" s="619"/>
      <c r="M2" s="625"/>
      <c r="N2" s="625"/>
      <c r="O2" s="625"/>
      <c r="P2" s="625"/>
      <c r="Q2" s="654"/>
      <c r="R2" s="619"/>
      <c r="S2" s="619"/>
      <c r="T2" s="619"/>
      <c r="U2" s="619"/>
      <c r="V2" s="619" t="s">
        <v>127</v>
      </c>
      <c r="W2" s="619"/>
      <c r="X2" s="619" t="s">
        <v>128</v>
      </c>
      <c r="Y2" s="619"/>
      <c r="Z2" s="649"/>
    </row>
    <row r="3" spans="1:26" s="14" customFormat="1" x14ac:dyDescent="0.25">
      <c r="A3" s="660" t="s">
        <v>129</v>
      </c>
      <c r="B3" s="662" t="s">
        <v>130</v>
      </c>
      <c r="C3" s="662" t="s">
        <v>131</v>
      </c>
      <c r="D3" s="662" t="s">
        <v>132</v>
      </c>
      <c r="E3" s="662" t="s">
        <v>133</v>
      </c>
      <c r="F3" s="662"/>
      <c r="G3" s="619"/>
      <c r="H3" s="640"/>
      <c r="I3" s="640"/>
      <c r="J3" s="619"/>
      <c r="K3" s="619"/>
      <c r="L3" s="619"/>
      <c r="M3" s="625"/>
      <c r="N3" s="625"/>
      <c r="O3" s="625"/>
      <c r="P3" s="625"/>
      <c r="Q3" s="654"/>
      <c r="R3" s="619"/>
      <c r="S3" s="619"/>
      <c r="T3" s="619"/>
      <c r="U3" s="619"/>
      <c r="V3" s="619" t="s">
        <v>134</v>
      </c>
      <c r="W3" s="619" t="s">
        <v>135</v>
      </c>
      <c r="X3" s="619" t="s">
        <v>136</v>
      </c>
      <c r="Y3" s="619" t="s">
        <v>137</v>
      </c>
      <c r="Z3" s="649"/>
    </row>
    <row r="4" spans="1:26" ht="15.75" thickBot="1" x14ac:dyDescent="0.3">
      <c r="A4" s="661"/>
      <c r="B4" s="663"/>
      <c r="C4" s="663"/>
      <c r="D4" s="663"/>
      <c r="E4" s="663"/>
      <c r="F4" s="663"/>
      <c r="G4" s="620"/>
      <c r="H4" s="641"/>
      <c r="I4" s="641"/>
      <c r="J4" s="620"/>
      <c r="K4" s="620"/>
      <c r="L4" s="620"/>
      <c r="M4" s="652"/>
      <c r="N4" s="652"/>
      <c r="O4" s="652"/>
      <c r="P4" s="652"/>
      <c r="Q4" s="655"/>
      <c r="R4" s="620"/>
      <c r="S4" s="620"/>
      <c r="T4" s="620"/>
      <c r="U4" s="620"/>
      <c r="V4" s="620"/>
      <c r="W4" s="620"/>
      <c r="X4" s="620"/>
      <c r="Y4" s="620"/>
      <c r="Z4" s="650"/>
    </row>
    <row r="5" spans="1:26" s="15" customFormat="1" ht="30" x14ac:dyDescent="0.25">
      <c r="A5" s="44" t="s">
        <v>0</v>
      </c>
      <c r="B5" s="44" t="s">
        <v>278</v>
      </c>
      <c r="C5" s="44" t="s">
        <v>696</v>
      </c>
      <c r="D5" s="45" t="s">
        <v>697</v>
      </c>
      <c r="E5" s="46">
        <v>18.600000000000001</v>
      </c>
      <c r="F5" s="44" t="s">
        <v>4</v>
      </c>
      <c r="G5" s="21" t="s">
        <v>518</v>
      </c>
      <c r="H5" s="181" t="s">
        <v>738</v>
      </c>
      <c r="I5" s="180"/>
      <c r="J5" s="21" t="s">
        <v>698</v>
      </c>
      <c r="K5" s="22" t="s">
        <v>194</v>
      </c>
      <c r="L5" s="21" t="s">
        <v>1449</v>
      </c>
      <c r="M5" s="21" t="s">
        <v>6</v>
      </c>
      <c r="N5" s="22" t="s">
        <v>7</v>
      </c>
      <c r="O5" s="351">
        <v>1500</v>
      </c>
      <c r="P5" s="351">
        <v>2125</v>
      </c>
      <c r="Q5" s="352">
        <f t="shared" ref="Q5:Q35" si="0">O5*P5*0.000001</f>
        <v>3.1875</v>
      </c>
      <c r="R5" s="356"/>
      <c r="S5" s="356"/>
      <c r="T5" s="356">
        <v>18.02</v>
      </c>
      <c r="U5" s="356">
        <v>2.6</v>
      </c>
      <c r="V5" s="356"/>
      <c r="W5" s="356"/>
      <c r="X5" s="356"/>
      <c r="Y5" s="357">
        <f>T5*U5-Q5-R5-Z5</f>
        <v>43.664500000000004</v>
      </c>
      <c r="Z5" s="356"/>
    </row>
    <row r="6" spans="1:26" s="15" customFormat="1" ht="30" x14ac:dyDescent="0.25">
      <c r="A6" s="139" t="s">
        <v>0</v>
      </c>
      <c r="B6" s="139" t="s">
        <v>228</v>
      </c>
      <c r="C6" s="139" t="s">
        <v>699</v>
      </c>
      <c r="D6" s="101" t="s">
        <v>55</v>
      </c>
      <c r="E6" s="190">
        <v>53.6</v>
      </c>
      <c r="F6" s="139" t="s">
        <v>4</v>
      </c>
      <c r="G6" s="5" t="s">
        <v>518</v>
      </c>
      <c r="H6" s="181" t="s">
        <v>738</v>
      </c>
      <c r="I6" s="181"/>
      <c r="J6" s="5" t="s">
        <v>698</v>
      </c>
      <c r="K6" s="6" t="s">
        <v>194</v>
      </c>
      <c r="L6" s="21" t="s">
        <v>1449</v>
      </c>
      <c r="M6" s="5" t="s">
        <v>6</v>
      </c>
      <c r="N6" s="6" t="s">
        <v>7</v>
      </c>
      <c r="O6" s="304">
        <v>11775</v>
      </c>
      <c r="P6" s="351">
        <v>2125</v>
      </c>
      <c r="Q6" s="352">
        <f t="shared" si="0"/>
        <v>25.021874999999998</v>
      </c>
      <c r="R6" s="353"/>
      <c r="S6" s="353"/>
      <c r="T6" s="353">
        <v>54.89</v>
      </c>
      <c r="U6" s="353">
        <v>2.7</v>
      </c>
      <c r="V6" s="302">
        <f>T6*U6-Q6-R6-Y6-Z6</f>
        <v>64.991625000000013</v>
      </c>
      <c r="W6" s="353"/>
      <c r="X6" s="353"/>
      <c r="Y6" s="353">
        <f>(T6-(O6/1000))*1.3</f>
        <v>56.049500000000002</v>
      </c>
      <c r="Z6" s="353">
        <v>2.14</v>
      </c>
    </row>
    <row r="7" spans="1:26" s="15" customFormat="1" ht="30" x14ac:dyDescent="0.25">
      <c r="A7" s="139" t="s">
        <v>0</v>
      </c>
      <c r="B7" s="139" t="s">
        <v>228</v>
      </c>
      <c r="C7" s="139" t="s">
        <v>700</v>
      </c>
      <c r="D7" s="101" t="s">
        <v>701</v>
      </c>
      <c r="E7" s="190">
        <v>16.399999999999999</v>
      </c>
      <c r="F7" s="139" t="s">
        <v>4</v>
      </c>
      <c r="G7" s="5" t="s">
        <v>518</v>
      </c>
      <c r="H7" s="181" t="s">
        <v>738</v>
      </c>
      <c r="I7" s="181"/>
      <c r="J7" s="5" t="s">
        <v>698</v>
      </c>
      <c r="K7" s="6" t="s">
        <v>194</v>
      </c>
      <c r="L7" s="21" t="s">
        <v>1449</v>
      </c>
      <c r="M7" s="5" t="s">
        <v>6</v>
      </c>
      <c r="N7" s="6" t="s">
        <v>7</v>
      </c>
      <c r="O7" s="304">
        <v>6825</v>
      </c>
      <c r="P7" s="351">
        <v>2125</v>
      </c>
      <c r="Q7" s="352">
        <f t="shared" si="0"/>
        <v>14.503124999999999</v>
      </c>
      <c r="R7" s="353"/>
      <c r="S7" s="353"/>
      <c r="T7" s="353">
        <v>17.8</v>
      </c>
      <c r="U7" s="353">
        <v>2.7</v>
      </c>
      <c r="V7" s="353"/>
      <c r="W7" s="353"/>
      <c r="X7" s="353"/>
      <c r="Y7" s="354">
        <f t="shared" ref="Y7:Y31" si="1">T7*U7-Q7-R7-Z7</f>
        <v>33.556875000000005</v>
      </c>
      <c r="Z7" s="353"/>
    </row>
    <row r="8" spans="1:26" s="15" customFormat="1" ht="30" x14ac:dyDescent="0.25">
      <c r="A8" s="139" t="s">
        <v>0</v>
      </c>
      <c r="B8" s="139" t="s">
        <v>228</v>
      </c>
      <c r="C8" s="139" t="s">
        <v>702</v>
      </c>
      <c r="D8" s="101" t="s">
        <v>224</v>
      </c>
      <c r="E8" s="190">
        <v>1.7</v>
      </c>
      <c r="F8" s="139" t="s">
        <v>4</v>
      </c>
      <c r="G8" s="5" t="s">
        <v>518</v>
      </c>
      <c r="H8" s="181" t="s">
        <v>738</v>
      </c>
      <c r="I8" s="181"/>
      <c r="J8" s="5" t="s">
        <v>698</v>
      </c>
      <c r="K8" s="6" t="s">
        <v>194</v>
      </c>
      <c r="L8" s="21" t="s">
        <v>1449</v>
      </c>
      <c r="M8" s="5" t="s">
        <v>6</v>
      </c>
      <c r="N8" s="6" t="s">
        <v>7</v>
      </c>
      <c r="O8" s="304">
        <v>875</v>
      </c>
      <c r="P8" s="351">
        <v>2125</v>
      </c>
      <c r="Q8" s="352">
        <f t="shared" si="0"/>
        <v>1.859375</v>
      </c>
      <c r="R8" s="353"/>
      <c r="S8" s="353"/>
      <c r="T8" s="353">
        <v>5.27</v>
      </c>
      <c r="U8" s="353">
        <v>2.6</v>
      </c>
      <c r="V8" s="353"/>
      <c r="W8" s="353"/>
      <c r="X8" s="353"/>
      <c r="Y8" s="354">
        <f t="shared" si="1"/>
        <v>11.842625</v>
      </c>
      <c r="Z8" s="353"/>
    </row>
    <row r="9" spans="1:26" s="15" customFormat="1" ht="30" x14ac:dyDescent="0.25">
      <c r="A9" s="139" t="s">
        <v>0</v>
      </c>
      <c r="B9" s="139" t="s">
        <v>228</v>
      </c>
      <c r="C9" s="139" t="s">
        <v>703</v>
      </c>
      <c r="D9" s="101" t="s">
        <v>223</v>
      </c>
      <c r="E9" s="190">
        <v>1.7</v>
      </c>
      <c r="F9" s="139" t="s">
        <v>4</v>
      </c>
      <c r="G9" s="5" t="s">
        <v>518</v>
      </c>
      <c r="H9" s="181" t="s">
        <v>738</v>
      </c>
      <c r="I9" s="181"/>
      <c r="J9" s="5" t="s">
        <v>698</v>
      </c>
      <c r="K9" s="6" t="s">
        <v>194</v>
      </c>
      <c r="L9" s="21" t="s">
        <v>1449</v>
      </c>
      <c r="M9" s="5" t="s">
        <v>6</v>
      </c>
      <c r="N9" s="6" t="s">
        <v>7</v>
      </c>
      <c r="O9" s="304">
        <v>875</v>
      </c>
      <c r="P9" s="351">
        <v>2125</v>
      </c>
      <c r="Q9" s="352">
        <f t="shared" si="0"/>
        <v>1.859375</v>
      </c>
      <c r="R9" s="353"/>
      <c r="S9" s="353"/>
      <c r="T9" s="353">
        <v>5.27</v>
      </c>
      <c r="U9" s="353">
        <v>2.6</v>
      </c>
      <c r="V9" s="353"/>
      <c r="W9" s="353"/>
      <c r="X9" s="353"/>
      <c r="Y9" s="354">
        <f t="shared" si="1"/>
        <v>11.842625</v>
      </c>
      <c r="Z9" s="353"/>
    </row>
    <row r="10" spans="1:26" s="15" customFormat="1" ht="30" x14ac:dyDescent="0.25">
      <c r="A10" s="139" t="s">
        <v>0</v>
      </c>
      <c r="B10" s="139" t="s">
        <v>228</v>
      </c>
      <c r="C10" s="139" t="s">
        <v>704</v>
      </c>
      <c r="D10" s="101" t="s">
        <v>3</v>
      </c>
      <c r="E10" s="190">
        <v>2.2999999999999998</v>
      </c>
      <c r="F10" s="139" t="s">
        <v>4</v>
      </c>
      <c r="G10" s="5" t="s">
        <v>518</v>
      </c>
      <c r="H10" s="181" t="s">
        <v>738</v>
      </c>
      <c r="I10" s="181"/>
      <c r="J10" s="5" t="s">
        <v>698</v>
      </c>
      <c r="K10" s="6" t="s">
        <v>194</v>
      </c>
      <c r="L10" s="21" t="s">
        <v>1449</v>
      </c>
      <c r="M10" s="5" t="s">
        <v>6</v>
      </c>
      <c r="N10" s="6" t="s">
        <v>7</v>
      </c>
      <c r="O10" s="304">
        <v>3250</v>
      </c>
      <c r="P10" s="351">
        <v>2125</v>
      </c>
      <c r="Q10" s="352">
        <f t="shared" si="0"/>
        <v>6.90625</v>
      </c>
      <c r="R10" s="353"/>
      <c r="S10" s="353"/>
      <c r="T10" s="353">
        <v>6.2</v>
      </c>
      <c r="U10" s="353">
        <v>2.6</v>
      </c>
      <c r="V10" s="353"/>
      <c r="W10" s="353"/>
      <c r="X10" s="353"/>
      <c r="Y10" s="354">
        <f t="shared" si="1"/>
        <v>9.213750000000001</v>
      </c>
      <c r="Z10" s="353"/>
    </row>
    <row r="11" spans="1:26" s="15" customFormat="1" ht="30" x14ac:dyDescent="0.25">
      <c r="A11" s="139" t="s">
        <v>0</v>
      </c>
      <c r="B11" s="139" t="s">
        <v>228</v>
      </c>
      <c r="C11" s="139" t="s">
        <v>705</v>
      </c>
      <c r="D11" s="101" t="s">
        <v>65</v>
      </c>
      <c r="E11" s="190">
        <v>1.4</v>
      </c>
      <c r="F11" s="139" t="s">
        <v>4</v>
      </c>
      <c r="G11" s="5" t="s">
        <v>518</v>
      </c>
      <c r="H11" s="181" t="s">
        <v>738</v>
      </c>
      <c r="I11" s="181"/>
      <c r="J11" s="5" t="s">
        <v>698</v>
      </c>
      <c r="K11" s="6" t="s">
        <v>194</v>
      </c>
      <c r="L11" s="21" t="s">
        <v>1449</v>
      </c>
      <c r="M11" s="5" t="s">
        <v>6</v>
      </c>
      <c r="N11" s="6" t="s">
        <v>7</v>
      </c>
      <c r="O11" s="304">
        <v>750</v>
      </c>
      <c r="P11" s="351">
        <v>2125</v>
      </c>
      <c r="Q11" s="352">
        <f t="shared" si="0"/>
        <v>1.59375</v>
      </c>
      <c r="R11" s="353"/>
      <c r="S11" s="353"/>
      <c r="T11" s="353">
        <v>4.45</v>
      </c>
      <c r="U11" s="353">
        <v>2.6</v>
      </c>
      <c r="V11" s="353"/>
      <c r="W11" s="353"/>
      <c r="X11" s="353"/>
      <c r="Y11" s="354">
        <f t="shared" si="1"/>
        <v>9.9762500000000003</v>
      </c>
      <c r="Z11" s="353"/>
    </row>
    <row r="12" spans="1:26" s="15" customFormat="1" ht="30" x14ac:dyDescent="0.25">
      <c r="A12" s="139" t="s">
        <v>0</v>
      </c>
      <c r="B12" s="139" t="s">
        <v>228</v>
      </c>
      <c r="C12" s="139" t="s">
        <v>706</v>
      </c>
      <c r="D12" s="101" t="s">
        <v>220</v>
      </c>
      <c r="E12" s="190">
        <v>1.4</v>
      </c>
      <c r="F12" s="139" t="s">
        <v>4</v>
      </c>
      <c r="G12" s="5" t="s">
        <v>518</v>
      </c>
      <c r="H12" s="181" t="s">
        <v>738</v>
      </c>
      <c r="I12" s="181"/>
      <c r="J12" s="5" t="s">
        <v>698</v>
      </c>
      <c r="K12" s="6" t="s">
        <v>194</v>
      </c>
      <c r="L12" s="21" t="s">
        <v>1449</v>
      </c>
      <c r="M12" s="5" t="s">
        <v>6</v>
      </c>
      <c r="N12" s="6" t="s">
        <v>7</v>
      </c>
      <c r="O12" s="304">
        <v>750</v>
      </c>
      <c r="P12" s="351">
        <v>2125</v>
      </c>
      <c r="Q12" s="352">
        <f t="shared" si="0"/>
        <v>1.59375</v>
      </c>
      <c r="R12" s="353"/>
      <c r="S12" s="353"/>
      <c r="T12" s="353">
        <v>5</v>
      </c>
      <c r="U12" s="353">
        <v>2.6</v>
      </c>
      <c r="V12" s="353"/>
      <c r="W12" s="353"/>
      <c r="X12" s="353"/>
      <c r="Y12" s="354">
        <f t="shared" si="1"/>
        <v>11.40625</v>
      </c>
      <c r="Z12" s="353"/>
    </row>
    <row r="13" spans="1:26" s="15" customFormat="1" ht="30" x14ac:dyDescent="0.25">
      <c r="A13" s="139" t="s">
        <v>0</v>
      </c>
      <c r="B13" s="139" t="s">
        <v>228</v>
      </c>
      <c r="C13" s="139" t="s">
        <v>707</v>
      </c>
      <c r="D13" s="101" t="s">
        <v>140</v>
      </c>
      <c r="E13" s="190">
        <v>6.1</v>
      </c>
      <c r="F13" s="139" t="s">
        <v>4</v>
      </c>
      <c r="G13" s="5" t="s">
        <v>518</v>
      </c>
      <c r="H13" s="181" t="s">
        <v>738</v>
      </c>
      <c r="I13" s="181"/>
      <c r="J13" s="5" t="s">
        <v>698</v>
      </c>
      <c r="K13" s="6" t="s">
        <v>194</v>
      </c>
      <c r="L13" s="21" t="s">
        <v>1449</v>
      </c>
      <c r="M13" s="5" t="s">
        <v>81</v>
      </c>
      <c r="N13" s="6" t="s">
        <v>7</v>
      </c>
      <c r="O13" s="304">
        <v>1750</v>
      </c>
      <c r="P13" s="351">
        <v>2125</v>
      </c>
      <c r="Q13" s="352">
        <f t="shared" si="0"/>
        <v>3.71875</v>
      </c>
      <c r="R13" s="353"/>
      <c r="S13" s="353"/>
      <c r="T13" s="353">
        <v>9.9499999999999993</v>
      </c>
      <c r="U13" s="353">
        <v>2.6</v>
      </c>
      <c r="V13" s="353"/>
      <c r="W13" s="353"/>
      <c r="X13" s="353"/>
      <c r="Y13" s="354">
        <f t="shared" si="1"/>
        <v>22.151249999999997</v>
      </c>
      <c r="Z13" s="353"/>
    </row>
    <row r="14" spans="1:26" s="15" customFormat="1" ht="30" x14ac:dyDescent="0.25">
      <c r="A14" s="139" t="s">
        <v>0</v>
      </c>
      <c r="B14" s="139" t="s">
        <v>228</v>
      </c>
      <c r="C14" s="139" t="s">
        <v>708</v>
      </c>
      <c r="D14" s="101" t="s">
        <v>709</v>
      </c>
      <c r="E14" s="190">
        <v>17.8</v>
      </c>
      <c r="F14" s="139" t="s">
        <v>4</v>
      </c>
      <c r="G14" s="5" t="s">
        <v>518</v>
      </c>
      <c r="H14" s="181" t="s">
        <v>738</v>
      </c>
      <c r="I14" s="181"/>
      <c r="J14" s="5" t="s">
        <v>698</v>
      </c>
      <c r="K14" s="6" t="s">
        <v>194</v>
      </c>
      <c r="L14" s="21" t="s">
        <v>1449</v>
      </c>
      <c r="M14" s="5" t="s">
        <v>10</v>
      </c>
      <c r="N14" s="6" t="s">
        <v>7</v>
      </c>
      <c r="O14" s="304">
        <v>2250</v>
      </c>
      <c r="P14" s="351">
        <v>2125</v>
      </c>
      <c r="Q14" s="352">
        <f t="shared" si="0"/>
        <v>4.78125</v>
      </c>
      <c r="R14" s="353"/>
      <c r="S14" s="353"/>
      <c r="T14" s="353">
        <v>16.95</v>
      </c>
      <c r="U14" s="353">
        <v>3</v>
      </c>
      <c r="V14" s="353"/>
      <c r="W14" s="353"/>
      <c r="X14" s="353"/>
      <c r="Y14" s="354">
        <f t="shared" si="1"/>
        <v>46.068749999999994</v>
      </c>
      <c r="Z14" s="353"/>
    </row>
    <row r="15" spans="1:26" s="15" customFormat="1" ht="30" x14ac:dyDescent="0.25">
      <c r="A15" s="139" t="s">
        <v>0</v>
      </c>
      <c r="B15" s="139" t="s">
        <v>228</v>
      </c>
      <c r="C15" s="139" t="s">
        <v>710</v>
      </c>
      <c r="D15" s="101" t="s">
        <v>711</v>
      </c>
      <c r="E15" s="190">
        <v>4.5</v>
      </c>
      <c r="F15" s="139" t="s">
        <v>4</v>
      </c>
      <c r="G15" s="5" t="s">
        <v>518</v>
      </c>
      <c r="H15" s="181" t="s">
        <v>738</v>
      </c>
      <c r="I15" s="181"/>
      <c r="J15" s="5" t="s">
        <v>698</v>
      </c>
      <c r="K15" s="6" t="s">
        <v>194</v>
      </c>
      <c r="L15" s="21" t="s">
        <v>1449</v>
      </c>
      <c r="M15" s="5" t="s">
        <v>6</v>
      </c>
      <c r="N15" s="6" t="s">
        <v>7</v>
      </c>
      <c r="O15" s="304">
        <v>900</v>
      </c>
      <c r="P15" s="351">
        <v>2125</v>
      </c>
      <c r="Q15" s="352">
        <f t="shared" si="0"/>
        <v>1.9124999999999999</v>
      </c>
      <c r="R15" s="353"/>
      <c r="S15" s="353"/>
      <c r="T15" s="353">
        <v>8.59</v>
      </c>
      <c r="U15" s="353">
        <v>2.6</v>
      </c>
      <c r="V15" s="353"/>
      <c r="W15" s="353"/>
      <c r="X15" s="353"/>
      <c r="Y15" s="354">
        <f t="shared" si="1"/>
        <v>20.421499999999998</v>
      </c>
      <c r="Z15" s="353"/>
    </row>
    <row r="16" spans="1:26" s="15" customFormat="1" ht="30" x14ac:dyDescent="0.25">
      <c r="A16" s="203" t="s">
        <v>0</v>
      </c>
      <c r="B16" s="203" t="s">
        <v>228</v>
      </c>
      <c r="C16" s="203" t="s">
        <v>712</v>
      </c>
      <c r="D16" s="83" t="s">
        <v>713</v>
      </c>
      <c r="E16" s="204">
        <v>7.5</v>
      </c>
      <c r="F16" s="203" t="s">
        <v>4</v>
      </c>
      <c r="G16" s="5" t="s">
        <v>518</v>
      </c>
      <c r="H16" s="181" t="s">
        <v>738</v>
      </c>
      <c r="I16" s="181"/>
      <c r="J16" s="5" t="s">
        <v>698</v>
      </c>
      <c r="K16" s="6" t="s">
        <v>194</v>
      </c>
      <c r="L16" s="21" t="s">
        <v>1449</v>
      </c>
      <c r="M16" s="62" t="s">
        <v>81</v>
      </c>
      <c r="N16" s="8" t="s">
        <v>7</v>
      </c>
      <c r="O16" s="355">
        <v>875</v>
      </c>
      <c r="P16" s="351">
        <v>2125</v>
      </c>
      <c r="Q16" s="352">
        <f t="shared" si="0"/>
        <v>1.859375</v>
      </c>
      <c r="R16" s="353"/>
      <c r="S16" s="353"/>
      <c r="T16" s="353">
        <v>10.94</v>
      </c>
      <c r="U16" s="353">
        <v>2.6</v>
      </c>
      <c r="V16" s="353"/>
      <c r="W16" s="353"/>
      <c r="X16" s="353"/>
      <c r="Y16" s="354">
        <f t="shared" si="1"/>
        <v>25.344625000000001</v>
      </c>
      <c r="Z16" s="353">
        <v>1.24</v>
      </c>
    </row>
    <row r="17" spans="1:26" s="15" customFormat="1" ht="30" x14ac:dyDescent="0.25">
      <c r="A17" s="203" t="s">
        <v>0</v>
      </c>
      <c r="B17" s="203" t="s">
        <v>228</v>
      </c>
      <c r="C17" s="203" t="s">
        <v>714</v>
      </c>
      <c r="D17" s="83" t="s">
        <v>715</v>
      </c>
      <c r="E17" s="204">
        <v>49.2</v>
      </c>
      <c r="F17" s="203" t="s">
        <v>4</v>
      </c>
      <c r="G17" s="5" t="s">
        <v>518</v>
      </c>
      <c r="H17" s="181" t="s">
        <v>738</v>
      </c>
      <c r="I17" s="181"/>
      <c r="J17" s="5" t="s">
        <v>698</v>
      </c>
      <c r="K17" s="6" t="s">
        <v>194</v>
      </c>
      <c r="L17" s="21" t="s">
        <v>1449</v>
      </c>
      <c r="M17" s="62" t="s">
        <v>81</v>
      </c>
      <c r="N17" s="8" t="s">
        <v>7</v>
      </c>
      <c r="O17" s="355">
        <v>4150</v>
      </c>
      <c r="P17" s="351">
        <v>2125</v>
      </c>
      <c r="Q17" s="352">
        <f t="shared" si="0"/>
        <v>8.8187499999999996</v>
      </c>
      <c r="R17" s="353"/>
      <c r="S17" s="353"/>
      <c r="T17" s="353">
        <v>28.8</v>
      </c>
      <c r="U17" s="353">
        <v>3</v>
      </c>
      <c r="V17" s="356"/>
      <c r="W17" s="353"/>
      <c r="X17" s="353"/>
      <c r="Y17" s="354">
        <f t="shared" si="1"/>
        <v>76.341250000000016</v>
      </c>
      <c r="Z17" s="353">
        <v>1.24</v>
      </c>
    </row>
    <row r="18" spans="1:26" s="15" customFormat="1" ht="30" x14ac:dyDescent="0.25">
      <c r="A18" s="203" t="s">
        <v>0</v>
      </c>
      <c r="B18" s="203" t="s">
        <v>228</v>
      </c>
      <c r="C18" s="203" t="s">
        <v>716</v>
      </c>
      <c r="D18" s="83" t="s">
        <v>717</v>
      </c>
      <c r="E18" s="204">
        <v>89.9</v>
      </c>
      <c r="F18" s="203" t="s">
        <v>4</v>
      </c>
      <c r="G18" s="5" t="s">
        <v>518</v>
      </c>
      <c r="H18" s="181" t="s">
        <v>738</v>
      </c>
      <c r="I18" s="181"/>
      <c r="J18" s="5" t="s">
        <v>698</v>
      </c>
      <c r="K18" s="6" t="s">
        <v>194</v>
      </c>
      <c r="L18" s="21" t="s">
        <v>1449</v>
      </c>
      <c r="M18" s="62" t="s">
        <v>81</v>
      </c>
      <c r="N18" s="8" t="s">
        <v>7</v>
      </c>
      <c r="O18" s="355">
        <v>2900</v>
      </c>
      <c r="P18" s="351">
        <v>2125</v>
      </c>
      <c r="Q18" s="352">
        <f t="shared" si="0"/>
        <v>6.1624999999999996</v>
      </c>
      <c r="R18" s="353"/>
      <c r="S18" s="353"/>
      <c r="T18" s="353">
        <v>38.89</v>
      </c>
      <c r="U18" s="353">
        <v>3</v>
      </c>
      <c r="V18" s="356"/>
      <c r="W18" s="353"/>
      <c r="X18" s="353"/>
      <c r="Y18" s="354">
        <f t="shared" si="1"/>
        <v>108.0275</v>
      </c>
      <c r="Z18" s="353">
        <v>2.48</v>
      </c>
    </row>
    <row r="19" spans="1:26" s="15" customFormat="1" ht="30" x14ac:dyDescent="0.25">
      <c r="A19" s="203" t="s">
        <v>0</v>
      </c>
      <c r="B19" s="203" t="s">
        <v>228</v>
      </c>
      <c r="C19" s="203" t="s">
        <v>718</v>
      </c>
      <c r="D19" s="83" t="s">
        <v>719</v>
      </c>
      <c r="E19" s="204">
        <v>95.3</v>
      </c>
      <c r="F19" s="203" t="s">
        <v>4</v>
      </c>
      <c r="G19" s="5" t="s">
        <v>518</v>
      </c>
      <c r="H19" s="181" t="s">
        <v>738</v>
      </c>
      <c r="I19" s="181"/>
      <c r="J19" s="5" t="s">
        <v>698</v>
      </c>
      <c r="K19" s="6" t="s">
        <v>194</v>
      </c>
      <c r="L19" s="21" t="s">
        <v>1449</v>
      </c>
      <c r="M19" s="62" t="s">
        <v>6</v>
      </c>
      <c r="N19" s="8" t="s">
        <v>7</v>
      </c>
      <c r="O19" s="355">
        <v>3875</v>
      </c>
      <c r="P19" s="351">
        <v>2125</v>
      </c>
      <c r="Q19" s="352">
        <f t="shared" si="0"/>
        <v>8.234375</v>
      </c>
      <c r="R19" s="353"/>
      <c r="S19" s="353"/>
      <c r="T19" s="353">
        <v>38.94</v>
      </c>
      <c r="U19" s="353">
        <v>3</v>
      </c>
      <c r="V19" s="353"/>
      <c r="W19" s="353"/>
      <c r="X19" s="353"/>
      <c r="Y19" s="354">
        <f t="shared" si="1"/>
        <v>108.58562499999999</v>
      </c>
      <c r="Z19" s="353"/>
    </row>
    <row r="20" spans="1:26" s="15" customFormat="1" ht="30" x14ac:dyDescent="0.25">
      <c r="A20" s="203" t="s">
        <v>0</v>
      </c>
      <c r="B20" s="203" t="s">
        <v>228</v>
      </c>
      <c r="C20" s="203" t="s">
        <v>720</v>
      </c>
      <c r="D20" s="83" t="s">
        <v>697</v>
      </c>
      <c r="E20" s="204">
        <v>13.9</v>
      </c>
      <c r="F20" s="203" t="s">
        <v>4</v>
      </c>
      <c r="G20" s="5" t="s">
        <v>518</v>
      </c>
      <c r="H20" s="181" t="s">
        <v>738</v>
      </c>
      <c r="I20" s="181"/>
      <c r="J20" s="5" t="s">
        <v>698</v>
      </c>
      <c r="K20" s="6" t="s">
        <v>194</v>
      </c>
      <c r="L20" s="21" t="s">
        <v>1449</v>
      </c>
      <c r="M20" s="62" t="s">
        <v>6</v>
      </c>
      <c r="N20" s="8" t="s">
        <v>7</v>
      </c>
      <c r="O20" s="355">
        <v>3875</v>
      </c>
      <c r="P20" s="351">
        <v>2125</v>
      </c>
      <c r="Q20" s="352">
        <f t="shared" si="0"/>
        <v>8.234375</v>
      </c>
      <c r="R20" s="353"/>
      <c r="S20" s="353"/>
      <c r="T20" s="353">
        <v>18.5</v>
      </c>
      <c r="U20" s="353">
        <v>2.7</v>
      </c>
      <c r="V20" s="356"/>
      <c r="W20" s="353"/>
      <c r="X20" s="353"/>
      <c r="Y20" s="354">
        <f t="shared" si="1"/>
        <v>41.715625000000003</v>
      </c>
      <c r="Z20" s="353"/>
    </row>
    <row r="21" spans="1:26" s="15" customFormat="1" ht="30" x14ac:dyDescent="0.25">
      <c r="A21" s="203" t="s">
        <v>0</v>
      </c>
      <c r="B21" s="203" t="s">
        <v>228</v>
      </c>
      <c r="C21" s="203" t="s">
        <v>721</v>
      </c>
      <c r="D21" s="83" t="s">
        <v>224</v>
      </c>
      <c r="E21" s="204">
        <v>5.0999999999999996</v>
      </c>
      <c r="F21" s="203" t="s">
        <v>4</v>
      </c>
      <c r="G21" s="5" t="s">
        <v>518</v>
      </c>
      <c r="H21" s="181" t="s">
        <v>738</v>
      </c>
      <c r="I21" s="181"/>
      <c r="J21" s="5" t="s">
        <v>698</v>
      </c>
      <c r="K21" s="6" t="s">
        <v>194</v>
      </c>
      <c r="L21" s="21" t="s">
        <v>1449</v>
      </c>
      <c r="M21" s="62" t="s">
        <v>6</v>
      </c>
      <c r="N21" s="8" t="s">
        <v>7</v>
      </c>
      <c r="O21" s="355">
        <v>875</v>
      </c>
      <c r="P21" s="351">
        <v>2125</v>
      </c>
      <c r="Q21" s="352">
        <f t="shared" si="0"/>
        <v>1.859375</v>
      </c>
      <c r="R21" s="353"/>
      <c r="S21" s="353"/>
      <c r="T21" s="353">
        <v>10.9</v>
      </c>
      <c r="U21" s="353">
        <v>2.6</v>
      </c>
      <c r="V21" s="353"/>
      <c r="W21" s="353"/>
      <c r="X21" s="353"/>
      <c r="Y21" s="354">
        <f t="shared" si="1"/>
        <v>26.480625000000003</v>
      </c>
      <c r="Z21" s="353"/>
    </row>
    <row r="22" spans="1:26" s="15" customFormat="1" ht="30" x14ac:dyDescent="0.25">
      <c r="A22" s="203" t="s">
        <v>0</v>
      </c>
      <c r="B22" s="203" t="s">
        <v>228</v>
      </c>
      <c r="C22" s="203" t="s">
        <v>722</v>
      </c>
      <c r="D22" s="83" t="s">
        <v>219</v>
      </c>
      <c r="E22" s="204">
        <v>2.6</v>
      </c>
      <c r="F22" s="203" t="s">
        <v>4</v>
      </c>
      <c r="G22" s="5" t="s">
        <v>518</v>
      </c>
      <c r="H22" s="181" t="s">
        <v>738</v>
      </c>
      <c r="I22" s="181"/>
      <c r="J22" s="5" t="s">
        <v>698</v>
      </c>
      <c r="K22" s="6" t="s">
        <v>194</v>
      </c>
      <c r="L22" s="21" t="s">
        <v>1449</v>
      </c>
      <c r="M22" s="62" t="s">
        <v>6</v>
      </c>
      <c r="N22" s="8" t="s">
        <v>7</v>
      </c>
      <c r="O22" s="355">
        <v>1625</v>
      </c>
      <c r="P22" s="351">
        <v>2125</v>
      </c>
      <c r="Q22" s="352">
        <f t="shared" si="0"/>
        <v>3.453125</v>
      </c>
      <c r="R22" s="353"/>
      <c r="S22" s="353"/>
      <c r="T22" s="353">
        <v>8.8000000000000007</v>
      </c>
      <c r="U22" s="353">
        <v>2.6</v>
      </c>
      <c r="V22" s="356"/>
      <c r="W22" s="353"/>
      <c r="X22" s="353"/>
      <c r="Y22" s="354">
        <f t="shared" si="1"/>
        <v>19.426875000000003</v>
      </c>
      <c r="Z22" s="353"/>
    </row>
    <row r="23" spans="1:26" s="15" customFormat="1" ht="30" x14ac:dyDescent="0.25">
      <c r="A23" s="203" t="s">
        <v>0</v>
      </c>
      <c r="B23" s="203" t="s">
        <v>228</v>
      </c>
      <c r="C23" s="203" t="s">
        <v>723</v>
      </c>
      <c r="D23" s="83" t="s">
        <v>220</v>
      </c>
      <c r="E23" s="204">
        <v>0.8</v>
      </c>
      <c r="F23" s="203" t="s">
        <v>4</v>
      </c>
      <c r="G23" s="5" t="s">
        <v>518</v>
      </c>
      <c r="H23" s="181" t="s">
        <v>738</v>
      </c>
      <c r="I23" s="181"/>
      <c r="J23" s="5" t="s">
        <v>698</v>
      </c>
      <c r="K23" s="6" t="s">
        <v>194</v>
      </c>
      <c r="L23" s="21" t="s">
        <v>1449</v>
      </c>
      <c r="M23" s="62" t="s">
        <v>81</v>
      </c>
      <c r="N23" s="8" t="s">
        <v>7</v>
      </c>
      <c r="O23" s="355">
        <v>1800</v>
      </c>
      <c r="P23" s="351">
        <v>2000</v>
      </c>
      <c r="Q23" s="352">
        <f t="shared" si="0"/>
        <v>3.5999999999999996</v>
      </c>
      <c r="R23" s="353"/>
      <c r="S23" s="353"/>
      <c r="T23" s="353"/>
      <c r="U23" s="353">
        <v>2.6</v>
      </c>
      <c r="V23" s="353"/>
      <c r="W23" s="353"/>
      <c r="X23" s="353"/>
      <c r="Y23" s="354">
        <f t="shared" si="1"/>
        <v>-3.5999999999999996</v>
      </c>
      <c r="Z23" s="353"/>
    </row>
    <row r="24" spans="1:26" s="15" customFormat="1" ht="30" x14ac:dyDescent="0.25">
      <c r="A24" s="203" t="s">
        <v>0</v>
      </c>
      <c r="B24" s="203" t="s">
        <v>228</v>
      </c>
      <c r="C24" s="203" t="s">
        <v>724</v>
      </c>
      <c r="D24" s="83" t="s">
        <v>65</v>
      </c>
      <c r="E24" s="204">
        <v>1.1000000000000001</v>
      </c>
      <c r="F24" s="203" t="s">
        <v>4</v>
      </c>
      <c r="G24" s="5" t="s">
        <v>518</v>
      </c>
      <c r="H24" s="181" t="s">
        <v>738</v>
      </c>
      <c r="I24" s="181"/>
      <c r="J24" s="5" t="s">
        <v>698</v>
      </c>
      <c r="K24" s="6" t="s">
        <v>194</v>
      </c>
      <c r="L24" s="21" t="s">
        <v>1449</v>
      </c>
      <c r="M24" s="62" t="s">
        <v>81</v>
      </c>
      <c r="N24" s="8" t="s">
        <v>7</v>
      </c>
      <c r="O24" s="355">
        <v>750</v>
      </c>
      <c r="P24" s="351">
        <v>2125</v>
      </c>
      <c r="Q24" s="352">
        <f t="shared" si="0"/>
        <v>1.59375</v>
      </c>
      <c r="R24" s="353"/>
      <c r="S24" s="353"/>
      <c r="T24" s="353">
        <v>3.9</v>
      </c>
      <c r="U24" s="353">
        <v>2.6</v>
      </c>
      <c r="V24" s="356"/>
      <c r="W24" s="353"/>
      <c r="X24" s="353"/>
      <c r="Y24" s="354">
        <f t="shared" si="1"/>
        <v>8.5462500000000006</v>
      </c>
      <c r="Z24" s="353"/>
    </row>
    <row r="25" spans="1:26" s="15" customFormat="1" ht="30" x14ac:dyDescent="0.25">
      <c r="A25" s="203" t="s">
        <v>0</v>
      </c>
      <c r="B25" s="203" t="s">
        <v>228</v>
      </c>
      <c r="C25" s="203" t="s">
        <v>725</v>
      </c>
      <c r="D25" s="83" t="s">
        <v>726</v>
      </c>
      <c r="E25" s="204">
        <v>7.4</v>
      </c>
      <c r="F25" s="203" t="s">
        <v>4</v>
      </c>
      <c r="G25" s="5" t="s">
        <v>518</v>
      </c>
      <c r="H25" s="181" t="s">
        <v>738</v>
      </c>
      <c r="I25" s="181"/>
      <c r="J25" s="5" t="s">
        <v>698</v>
      </c>
      <c r="K25" s="6" t="s">
        <v>194</v>
      </c>
      <c r="L25" s="21" t="s">
        <v>1449</v>
      </c>
      <c r="M25" s="62" t="s">
        <v>6</v>
      </c>
      <c r="N25" s="8" t="s">
        <v>7</v>
      </c>
      <c r="O25" s="355">
        <v>2625</v>
      </c>
      <c r="P25" s="351">
        <v>2125</v>
      </c>
      <c r="Q25" s="352">
        <f t="shared" si="0"/>
        <v>5.578125</v>
      </c>
      <c r="R25" s="353"/>
      <c r="S25" s="353"/>
      <c r="T25" s="353">
        <v>10.9</v>
      </c>
      <c r="U25" s="353">
        <v>2.7</v>
      </c>
      <c r="V25" s="353"/>
      <c r="W25" s="353"/>
      <c r="X25" s="353"/>
      <c r="Y25" s="354">
        <f t="shared" si="1"/>
        <v>23.851875000000003</v>
      </c>
      <c r="Z25" s="353"/>
    </row>
    <row r="26" spans="1:26" s="15" customFormat="1" ht="30" x14ac:dyDescent="0.25">
      <c r="A26" s="203" t="s">
        <v>0</v>
      </c>
      <c r="B26" s="203" t="s">
        <v>228</v>
      </c>
      <c r="C26" s="203" t="s">
        <v>727</v>
      </c>
      <c r="D26" s="83" t="s">
        <v>148</v>
      </c>
      <c r="E26" s="204">
        <v>2.5</v>
      </c>
      <c r="F26" s="203" t="s">
        <v>4</v>
      </c>
      <c r="G26" s="5" t="s">
        <v>518</v>
      </c>
      <c r="H26" s="181" t="s">
        <v>738</v>
      </c>
      <c r="I26" s="181"/>
      <c r="J26" s="5" t="s">
        <v>698</v>
      </c>
      <c r="K26" s="6" t="s">
        <v>194</v>
      </c>
      <c r="L26" s="21" t="s">
        <v>1449</v>
      </c>
      <c r="M26" s="62" t="s">
        <v>10</v>
      </c>
      <c r="N26" s="8" t="s">
        <v>7</v>
      </c>
      <c r="O26" s="355">
        <v>4375</v>
      </c>
      <c r="P26" s="351">
        <v>2125</v>
      </c>
      <c r="Q26" s="352">
        <f t="shared" si="0"/>
        <v>9.296875</v>
      </c>
      <c r="R26" s="353"/>
      <c r="S26" s="353"/>
      <c r="T26" s="353">
        <v>6.6</v>
      </c>
      <c r="U26" s="353">
        <v>2.7</v>
      </c>
      <c r="V26" s="356"/>
      <c r="W26" s="353"/>
      <c r="X26" s="353"/>
      <c r="Y26" s="354">
        <f t="shared" si="1"/>
        <v>8.5231250000000003</v>
      </c>
      <c r="Z26" s="353"/>
    </row>
    <row r="27" spans="1:26" s="15" customFormat="1" ht="30" x14ac:dyDescent="0.25">
      <c r="A27" s="203" t="s">
        <v>0</v>
      </c>
      <c r="B27" s="203" t="s">
        <v>228</v>
      </c>
      <c r="C27" s="203" t="s">
        <v>728</v>
      </c>
      <c r="D27" s="83" t="s">
        <v>224</v>
      </c>
      <c r="E27" s="204">
        <v>2.5</v>
      </c>
      <c r="F27" s="203" t="s">
        <v>4</v>
      </c>
      <c r="G27" s="5" t="s">
        <v>518</v>
      </c>
      <c r="H27" s="181" t="s">
        <v>738</v>
      </c>
      <c r="I27" s="181"/>
      <c r="J27" s="5" t="s">
        <v>698</v>
      </c>
      <c r="K27" s="6" t="s">
        <v>194</v>
      </c>
      <c r="L27" s="21" t="s">
        <v>1449</v>
      </c>
      <c r="M27" s="62" t="s">
        <v>6</v>
      </c>
      <c r="N27" s="8" t="s">
        <v>7</v>
      </c>
      <c r="O27" s="355">
        <v>875</v>
      </c>
      <c r="P27" s="351">
        <v>2125</v>
      </c>
      <c r="Q27" s="352">
        <f t="shared" si="0"/>
        <v>1.859375</v>
      </c>
      <c r="R27" s="353"/>
      <c r="S27" s="353"/>
      <c r="T27" s="353">
        <v>6.6</v>
      </c>
      <c r="U27" s="353">
        <v>2.6</v>
      </c>
      <c r="V27" s="353"/>
      <c r="W27" s="353"/>
      <c r="X27" s="353"/>
      <c r="Y27" s="354">
        <f t="shared" si="1"/>
        <v>15.300625</v>
      </c>
      <c r="Z27" s="353"/>
    </row>
    <row r="28" spans="1:26" s="15" customFormat="1" ht="30" x14ac:dyDescent="0.25">
      <c r="A28" s="203" t="s">
        <v>0</v>
      </c>
      <c r="B28" s="203" t="s">
        <v>228</v>
      </c>
      <c r="C28" s="203" t="s">
        <v>729</v>
      </c>
      <c r="D28" s="83" t="s">
        <v>730</v>
      </c>
      <c r="E28" s="204">
        <v>7.4</v>
      </c>
      <c r="F28" s="203" t="s">
        <v>4</v>
      </c>
      <c r="G28" s="5" t="s">
        <v>518</v>
      </c>
      <c r="H28" s="181" t="s">
        <v>738</v>
      </c>
      <c r="I28" s="181"/>
      <c r="J28" s="5" t="s">
        <v>698</v>
      </c>
      <c r="K28" s="6" t="s">
        <v>194</v>
      </c>
      <c r="L28" s="21" t="s">
        <v>1449</v>
      </c>
      <c r="M28" s="62" t="s">
        <v>6</v>
      </c>
      <c r="N28" s="8" t="s">
        <v>7</v>
      </c>
      <c r="O28" s="355">
        <v>2625</v>
      </c>
      <c r="P28" s="351">
        <v>2125</v>
      </c>
      <c r="Q28" s="352">
        <f t="shared" si="0"/>
        <v>5.578125</v>
      </c>
      <c r="R28" s="353"/>
      <c r="S28" s="353"/>
      <c r="T28" s="353">
        <v>10.9</v>
      </c>
      <c r="U28" s="353">
        <v>2.7</v>
      </c>
      <c r="V28" s="356"/>
      <c r="W28" s="353"/>
      <c r="X28" s="353"/>
      <c r="Y28" s="354">
        <f t="shared" si="1"/>
        <v>23.851875000000003</v>
      </c>
      <c r="Z28" s="353"/>
    </row>
    <row r="29" spans="1:26" s="15" customFormat="1" ht="30" x14ac:dyDescent="0.25">
      <c r="A29" s="203" t="s">
        <v>0</v>
      </c>
      <c r="B29" s="203" t="s">
        <v>228</v>
      </c>
      <c r="C29" s="203" t="s">
        <v>731</v>
      </c>
      <c r="D29" s="83" t="s">
        <v>219</v>
      </c>
      <c r="E29" s="204">
        <v>2.6</v>
      </c>
      <c r="F29" s="203" t="s">
        <v>4</v>
      </c>
      <c r="G29" s="5" t="s">
        <v>518</v>
      </c>
      <c r="H29" s="181" t="s">
        <v>738</v>
      </c>
      <c r="I29" s="181"/>
      <c r="J29" s="5" t="s">
        <v>698</v>
      </c>
      <c r="K29" s="6" t="s">
        <v>194</v>
      </c>
      <c r="L29" s="21" t="s">
        <v>1449</v>
      </c>
      <c r="M29" s="62" t="s">
        <v>10</v>
      </c>
      <c r="N29" s="8" t="s">
        <v>7</v>
      </c>
      <c r="O29" s="355">
        <v>1625</v>
      </c>
      <c r="P29" s="351">
        <v>2125</v>
      </c>
      <c r="Q29" s="352">
        <f t="shared" si="0"/>
        <v>3.453125</v>
      </c>
      <c r="R29" s="353"/>
      <c r="S29" s="353"/>
      <c r="T29" s="353">
        <v>8.8000000000000007</v>
      </c>
      <c r="U29" s="353">
        <v>2.6</v>
      </c>
      <c r="V29" s="353"/>
      <c r="W29" s="353"/>
      <c r="X29" s="353"/>
      <c r="Y29" s="354">
        <f t="shared" si="1"/>
        <v>19.426875000000003</v>
      </c>
      <c r="Z29" s="353"/>
    </row>
    <row r="30" spans="1:26" s="15" customFormat="1" ht="30" x14ac:dyDescent="0.25">
      <c r="A30" s="203" t="s">
        <v>0</v>
      </c>
      <c r="B30" s="203" t="s">
        <v>228</v>
      </c>
      <c r="C30" s="203" t="s">
        <v>732</v>
      </c>
      <c r="D30" s="83" t="s">
        <v>220</v>
      </c>
      <c r="E30" s="204">
        <v>0.8</v>
      </c>
      <c r="F30" s="203" t="s">
        <v>4</v>
      </c>
      <c r="G30" s="5" t="s">
        <v>518</v>
      </c>
      <c r="H30" s="181" t="s">
        <v>738</v>
      </c>
      <c r="I30" s="181"/>
      <c r="J30" s="5" t="s">
        <v>698</v>
      </c>
      <c r="K30" s="6" t="s">
        <v>194</v>
      </c>
      <c r="L30" s="21" t="s">
        <v>1449</v>
      </c>
      <c r="M30" s="62" t="s">
        <v>81</v>
      </c>
      <c r="N30" s="8" t="s">
        <v>7</v>
      </c>
      <c r="O30" s="355">
        <v>1800</v>
      </c>
      <c r="P30" s="351">
        <v>2000</v>
      </c>
      <c r="Q30" s="352">
        <f t="shared" si="0"/>
        <v>3.5999999999999996</v>
      </c>
      <c r="R30" s="353"/>
      <c r="S30" s="353"/>
      <c r="T30" s="353"/>
      <c r="U30" s="353">
        <v>2.6</v>
      </c>
      <c r="V30" s="353"/>
      <c r="W30" s="353"/>
      <c r="X30" s="353"/>
      <c r="Y30" s="354">
        <f t="shared" si="1"/>
        <v>-3.5999999999999996</v>
      </c>
      <c r="Z30" s="353"/>
    </row>
    <row r="31" spans="1:26" s="15" customFormat="1" ht="30" x14ac:dyDescent="0.25">
      <c r="A31" s="203" t="s">
        <v>0</v>
      </c>
      <c r="B31" s="203" t="s">
        <v>228</v>
      </c>
      <c r="C31" s="203" t="s">
        <v>733</v>
      </c>
      <c r="D31" s="83" t="s">
        <v>65</v>
      </c>
      <c r="E31" s="204">
        <v>1.1000000000000001</v>
      </c>
      <c r="F31" s="203" t="s">
        <v>4</v>
      </c>
      <c r="G31" s="62" t="s">
        <v>518</v>
      </c>
      <c r="H31" s="181" t="s">
        <v>738</v>
      </c>
      <c r="I31" s="181"/>
      <c r="J31" s="62" t="s">
        <v>698</v>
      </c>
      <c r="K31" s="8" t="s">
        <v>194</v>
      </c>
      <c r="L31" s="21" t="s">
        <v>1449</v>
      </c>
      <c r="M31" s="62" t="s">
        <v>81</v>
      </c>
      <c r="N31" s="8" t="s">
        <v>7</v>
      </c>
      <c r="O31" s="355">
        <v>750</v>
      </c>
      <c r="P31" s="351">
        <v>2125</v>
      </c>
      <c r="Q31" s="352">
        <f t="shared" si="0"/>
        <v>1.59375</v>
      </c>
      <c r="R31" s="353"/>
      <c r="S31" s="353"/>
      <c r="T31" s="353">
        <v>3.9</v>
      </c>
      <c r="U31" s="353">
        <v>2.6</v>
      </c>
      <c r="V31" s="353"/>
      <c r="W31" s="353"/>
      <c r="X31" s="353"/>
      <c r="Y31" s="354">
        <f t="shared" si="1"/>
        <v>8.5462500000000006</v>
      </c>
      <c r="Z31" s="353"/>
    </row>
    <row r="32" spans="1:26" s="48" customFormat="1" ht="30" x14ac:dyDescent="0.25">
      <c r="A32" s="139" t="s">
        <v>0</v>
      </c>
      <c r="B32" s="139" t="s">
        <v>228</v>
      </c>
      <c r="C32" s="139" t="s">
        <v>734</v>
      </c>
      <c r="D32" s="101" t="s">
        <v>735</v>
      </c>
      <c r="E32" s="190">
        <v>6</v>
      </c>
      <c r="F32" s="139" t="s">
        <v>4</v>
      </c>
      <c r="G32" s="5" t="s">
        <v>518</v>
      </c>
      <c r="H32" s="181" t="s">
        <v>738</v>
      </c>
      <c r="I32" s="181"/>
      <c r="J32" s="5" t="s">
        <v>698</v>
      </c>
      <c r="K32" s="6" t="s">
        <v>194</v>
      </c>
      <c r="L32" s="21" t="s">
        <v>1449</v>
      </c>
      <c r="M32" s="5" t="s">
        <v>6</v>
      </c>
      <c r="N32" s="6" t="s">
        <v>7</v>
      </c>
      <c r="O32" s="304">
        <v>1800</v>
      </c>
      <c r="P32" s="304">
        <v>2125</v>
      </c>
      <c r="Q32" s="302">
        <f t="shared" si="0"/>
        <v>3.8249999999999997</v>
      </c>
      <c r="R32" s="353"/>
      <c r="S32" s="353"/>
      <c r="T32" s="353">
        <v>10</v>
      </c>
      <c r="U32" s="353">
        <v>2.7</v>
      </c>
      <c r="V32" s="302">
        <f>T32*U32-Q32-R32-Y32-Z32</f>
        <v>23.175000000000001</v>
      </c>
      <c r="W32" s="353"/>
      <c r="X32" s="353"/>
      <c r="Y32" s="353"/>
      <c r="Z32" s="353"/>
    </row>
    <row r="33" spans="1:26" s="15" customFormat="1" ht="30" x14ac:dyDescent="0.25">
      <c r="A33" s="177" t="s">
        <v>0</v>
      </c>
      <c r="B33" s="177" t="s">
        <v>228</v>
      </c>
      <c r="C33" s="177" t="s">
        <v>736</v>
      </c>
      <c r="D33" s="193" t="s">
        <v>152</v>
      </c>
      <c r="E33" s="194">
        <v>22.6</v>
      </c>
      <c r="F33" s="177" t="s">
        <v>4</v>
      </c>
      <c r="G33" s="21" t="s">
        <v>518</v>
      </c>
      <c r="H33" s="181" t="s">
        <v>738</v>
      </c>
      <c r="I33" s="180"/>
      <c r="J33" s="21" t="s">
        <v>698</v>
      </c>
      <c r="K33" s="22" t="s">
        <v>194</v>
      </c>
      <c r="L33" s="21" t="s">
        <v>1449</v>
      </c>
      <c r="M33" s="21" t="s">
        <v>6</v>
      </c>
      <c r="N33" s="6" t="s">
        <v>7</v>
      </c>
      <c r="O33" s="304">
        <v>2000</v>
      </c>
      <c r="P33" s="304">
        <v>2125</v>
      </c>
      <c r="Q33" s="302">
        <f t="shared" si="0"/>
        <v>4.25</v>
      </c>
      <c r="R33" s="353">
        <v>3.56</v>
      </c>
      <c r="S33" s="353">
        <v>1.18</v>
      </c>
      <c r="T33" s="353">
        <v>22.44</v>
      </c>
      <c r="U33" s="353">
        <v>3</v>
      </c>
      <c r="V33" s="302">
        <f>T33*U33-Q33-R33-Y33-Z33</f>
        <v>59.510000000000005</v>
      </c>
      <c r="W33" s="353"/>
      <c r="X33" s="353"/>
      <c r="Y33" s="353"/>
      <c r="Z33" s="353"/>
    </row>
    <row r="34" spans="1:26" s="15" customFormat="1" ht="30" x14ac:dyDescent="0.25">
      <c r="A34" s="139" t="s">
        <v>0</v>
      </c>
      <c r="B34" s="139" t="s">
        <v>228</v>
      </c>
      <c r="C34" s="139" t="s">
        <v>737</v>
      </c>
      <c r="D34" s="101" t="s">
        <v>151</v>
      </c>
      <c r="E34" s="190">
        <v>3.9</v>
      </c>
      <c r="F34" s="139" t="s">
        <v>4</v>
      </c>
      <c r="G34" s="5" t="s">
        <v>518</v>
      </c>
      <c r="H34" s="181" t="s">
        <v>738</v>
      </c>
      <c r="I34" s="181"/>
      <c r="J34" s="5" t="s">
        <v>698</v>
      </c>
      <c r="K34" s="6" t="s">
        <v>194</v>
      </c>
      <c r="L34" s="21" t="s">
        <v>1449</v>
      </c>
      <c r="M34" s="5" t="s">
        <v>10</v>
      </c>
      <c r="N34" s="6" t="s">
        <v>7</v>
      </c>
      <c r="O34" s="304">
        <v>875</v>
      </c>
      <c r="P34" s="304">
        <v>2125</v>
      </c>
      <c r="Q34" s="302">
        <f t="shared" si="0"/>
        <v>1.859375</v>
      </c>
      <c r="R34" s="353"/>
      <c r="S34" s="353"/>
      <c r="T34" s="353">
        <v>7.95</v>
      </c>
      <c r="U34" s="353">
        <v>2.7</v>
      </c>
      <c r="V34" s="353">
        <f>T34*U34-Q34-R34-Y34-Z34</f>
        <v>4.7481250000000017</v>
      </c>
      <c r="W34" s="353"/>
      <c r="X34" s="353"/>
      <c r="Y34" s="353">
        <f>(T34-O34/1000)*2.1</f>
        <v>14.857500000000002</v>
      </c>
      <c r="Z34" s="353"/>
    </row>
    <row r="35" spans="1:26" s="15" customFormat="1" ht="30" x14ac:dyDescent="0.25">
      <c r="A35" s="177" t="s">
        <v>0</v>
      </c>
      <c r="B35" s="139" t="s">
        <v>228</v>
      </c>
      <c r="C35" s="177" t="s">
        <v>742</v>
      </c>
      <c r="D35" s="193" t="s">
        <v>221</v>
      </c>
      <c r="E35" s="194">
        <v>6.8</v>
      </c>
      <c r="F35" s="177" t="s">
        <v>4</v>
      </c>
      <c r="G35" s="21" t="s">
        <v>77</v>
      </c>
      <c r="H35" s="181" t="s">
        <v>738</v>
      </c>
      <c r="I35" s="180"/>
      <c r="J35" s="21" t="s">
        <v>698</v>
      </c>
      <c r="K35" s="22" t="s">
        <v>194</v>
      </c>
      <c r="L35" s="21" t="s">
        <v>1449</v>
      </c>
      <c r="M35" s="21" t="s">
        <v>6</v>
      </c>
      <c r="N35" s="6" t="s">
        <v>7</v>
      </c>
      <c r="O35" s="304">
        <v>875</v>
      </c>
      <c r="P35" s="304">
        <v>2125</v>
      </c>
      <c r="Q35" s="302">
        <f t="shared" si="0"/>
        <v>1.859375</v>
      </c>
      <c r="R35" s="353"/>
      <c r="S35" s="353"/>
      <c r="T35" s="353">
        <v>11.2</v>
      </c>
      <c r="U35" s="353">
        <v>2.7</v>
      </c>
      <c r="V35" s="302">
        <f t="shared" ref="V35" si="2">T35*U35-Q35-R35-Y35-Z35</f>
        <v>26.240624999999998</v>
      </c>
      <c r="W35" s="353"/>
      <c r="X35" s="353"/>
      <c r="Y35" s="353"/>
      <c r="Z35" s="353">
        <v>2.14</v>
      </c>
    </row>
    <row r="36" spans="1:26" s="284" customFormat="1" ht="17.25" x14ac:dyDescent="0.25">
      <c r="C36" s="280" t="s">
        <v>274</v>
      </c>
      <c r="E36" s="285">
        <f>SUM(E5:E35)</f>
        <v>454.50000000000011</v>
      </c>
      <c r="F36" s="284" t="s">
        <v>1560</v>
      </c>
      <c r="M36" s="305"/>
    </row>
    <row r="37" spans="1:26" x14ac:dyDescent="0.25">
      <c r="E37" s="222"/>
    </row>
    <row r="38" spans="1:26" x14ac:dyDescent="0.25">
      <c r="C38" s="278" t="s">
        <v>1807</v>
      </c>
      <c r="D38" s="342"/>
      <c r="E38" s="358"/>
      <c r="F38" s="65"/>
    </row>
    <row r="39" spans="1:26" ht="17.25" x14ac:dyDescent="0.25">
      <c r="C39" s="65"/>
      <c r="D39" s="358" t="s">
        <v>1808</v>
      </c>
      <c r="E39" s="345">
        <v>0</v>
      </c>
      <c r="F39" s="342" t="s">
        <v>1560</v>
      </c>
    </row>
    <row r="40" spans="1:26" ht="17.25" x14ac:dyDescent="0.25">
      <c r="C40" s="65"/>
      <c r="D40" s="358" t="s">
        <v>37</v>
      </c>
      <c r="E40" s="345">
        <f>SUM(E5:E34)</f>
        <v>447.7000000000001</v>
      </c>
      <c r="F40" s="342" t="s">
        <v>1560</v>
      </c>
    </row>
    <row r="41" spans="1:26" ht="17.25" x14ac:dyDescent="0.25">
      <c r="C41" s="65"/>
      <c r="D41" s="358" t="s">
        <v>77</v>
      </c>
      <c r="E41" s="345">
        <f>E35</f>
        <v>6.8</v>
      </c>
      <c r="F41" s="342" t="s">
        <v>1560</v>
      </c>
    </row>
    <row r="42" spans="1:26" ht="17.25" x14ac:dyDescent="0.25">
      <c r="C42" s="65"/>
      <c r="D42" s="358" t="s">
        <v>229</v>
      </c>
      <c r="E42" s="345">
        <v>0</v>
      </c>
      <c r="F42" s="342" t="s">
        <v>1560</v>
      </c>
    </row>
    <row r="43" spans="1:26" ht="17.25" x14ac:dyDescent="0.25">
      <c r="C43" s="65"/>
      <c r="D43" s="359" t="s">
        <v>274</v>
      </c>
      <c r="E43" s="345">
        <f>SUM(E39:E42)</f>
        <v>454.50000000000011</v>
      </c>
      <c r="F43" s="342" t="s">
        <v>1560</v>
      </c>
    </row>
    <row r="44" spans="1:26" x14ac:dyDescent="0.25">
      <c r="C44" s="65"/>
      <c r="D44" s="359"/>
      <c r="E44" s="345"/>
      <c r="F44" s="342"/>
    </row>
    <row r="45" spans="1:26" x14ac:dyDescent="0.25">
      <c r="C45" s="284" t="s">
        <v>1970</v>
      </c>
    </row>
    <row r="46" spans="1:26" x14ac:dyDescent="0.25">
      <c r="C46" s="504" t="s">
        <v>1968</v>
      </c>
      <c r="D46" s="305"/>
      <c r="E46" s="503" t="s">
        <v>1971</v>
      </c>
    </row>
    <row r="47" spans="1:26" x14ac:dyDescent="0.25">
      <c r="C47" s="504" t="s">
        <v>1969</v>
      </c>
      <c r="D47" s="305"/>
      <c r="E47" s="503" t="s">
        <v>1972</v>
      </c>
    </row>
    <row r="48" spans="1:26" x14ac:dyDescent="0.25">
      <c r="C48" s="284" t="s">
        <v>1964</v>
      </c>
      <c r="D48" s="305"/>
      <c r="E48" s="503" t="s">
        <v>1967</v>
      </c>
    </row>
    <row r="49" spans="3:5" x14ac:dyDescent="0.25">
      <c r="C49" s="284" t="s">
        <v>2078</v>
      </c>
      <c r="D49" s="305"/>
      <c r="E49" s="503"/>
    </row>
    <row r="50" spans="3:5" x14ac:dyDescent="0.25">
      <c r="C50" s="284" t="s">
        <v>2037</v>
      </c>
    </row>
  </sheetData>
  <sheetProtection password="87E5" sheet="1" objects="1" scenarios="1"/>
  <mergeCells count="27">
    <mergeCell ref="I1:I4"/>
    <mergeCell ref="H1:H4"/>
    <mergeCell ref="A1:F2"/>
    <mergeCell ref="A3:A4"/>
    <mergeCell ref="B3:B4"/>
    <mergeCell ref="C3:C4"/>
    <mergeCell ref="D3:D4"/>
    <mergeCell ref="E3:F4"/>
    <mergeCell ref="G1:G4"/>
    <mergeCell ref="J1:J4"/>
    <mergeCell ref="K1:K4"/>
    <mergeCell ref="L1:L4"/>
    <mergeCell ref="M1:M4"/>
    <mergeCell ref="N1:P4"/>
    <mergeCell ref="Q1:Q4"/>
    <mergeCell ref="R1:R4"/>
    <mergeCell ref="S1:S4"/>
    <mergeCell ref="T1:T4"/>
    <mergeCell ref="U1:U4"/>
    <mergeCell ref="V1:Y1"/>
    <mergeCell ref="Z1:Z4"/>
    <mergeCell ref="V2:W2"/>
    <mergeCell ref="X2:Y2"/>
    <mergeCell ref="V3:V4"/>
    <mergeCell ref="W3:W4"/>
    <mergeCell ref="X3:X4"/>
    <mergeCell ref="Y3:Y4"/>
  </mergeCells>
  <dataValidations disablePrompts="1" count="1">
    <dataValidation type="list" allowBlank="1" showInputMessage="1" showErrorMessage="1" sqref="G5:G35">
      <formula1>kat</formula1>
    </dataValidation>
  </dataValidations>
  <printOptions horizontalCentered="1"/>
  <pageMargins left="0.11811023622047245" right="0.11811023622047245" top="0.15748031496062992" bottom="0.55118110236220474" header="0.31496062992125984" footer="0.31496062992125984"/>
  <pageSetup paperSize="9" scale="66" fitToHeight="0" orientation="landscape" r:id="rId1"/>
  <headerFoot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26</vt:i4>
      </vt:variant>
    </vt:vector>
  </HeadingPairs>
  <TitlesOfParts>
    <vt:vector size="54" baseType="lpstr">
      <vt:lpstr>Útmutató (1)</vt:lpstr>
      <vt:lpstr>Állagmegóvó</vt:lpstr>
      <vt:lpstr>Összesítő (2)</vt:lpstr>
      <vt:lpstr>Közp. Gyógyszerr. (3)</vt:lpstr>
      <vt:lpstr>Közp. Ágymosó (4)</vt:lpstr>
      <vt:lpstr>SBO (5)</vt:lpstr>
      <vt:lpstr>Közp. radiológia (6)</vt:lpstr>
      <vt:lpstr>Ortopédia (7)</vt:lpstr>
      <vt:lpstr>Közp. sterilizáló (8)</vt:lpstr>
      <vt:lpstr>Egyéb (9)</vt:lpstr>
      <vt:lpstr>Anesthesiológia (10)</vt:lpstr>
      <vt:lpstr>Közp. labor (11)</vt:lpstr>
      <vt:lpstr>Vérdepo (12)</vt:lpstr>
      <vt:lpstr>Traumatológia (13)</vt:lpstr>
      <vt:lpstr>Trauma intenzív (14)</vt:lpstr>
      <vt:lpstr>KKT GÜI (15)</vt:lpstr>
      <vt:lpstr>Központi műtők (16)</vt:lpstr>
      <vt:lpstr>Női klinika (17)</vt:lpstr>
      <vt:lpstr>K-Közlekedő (18)</vt:lpstr>
      <vt:lpstr>K-Raktár (19)</vt:lpstr>
      <vt:lpstr>K-Gépészet (20)</vt:lpstr>
      <vt:lpstr>K-Öltözők (21)</vt:lpstr>
      <vt:lpstr>K-Takarítás (22)</vt:lpstr>
      <vt:lpstr>K-Villamosság (23)</vt:lpstr>
      <vt:lpstr>K-Vizesblokk (24)</vt:lpstr>
      <vt:lpstr>K-Hulladék (25)</vt:lpstr>
      <vt:lpstr>K-Egyéb (26)</vt:lpstr>
      <vt:lpstr>Üvegfelületek külső homlokzaton</vt:lpstr>
      <vt:lpstr>'Központi műtők (16)'!_Toc434993713</vt:lpstr>
      <vt:lpstr>'Központi műtők (16)'!_Toc434993714</vt:lpstr>
      <vt:lpstr>'Központi műtők (16)'!_Toc434993715</vt:lpstr>
      <vt:lpstr>'Anesthesiológia (10)'!Nyomtatási_cím</vt:lpstr>
      <vt:lpstr>'Egyéb (9)'!Nyomtatási_cím</vt:lpstr>
      <vt:lpstr>'K-Egyéb (26)'!Nyomtatási_cím</vt:lpstr>
      <vt:lpstr>'K-Gépészet (20)'!Nyomtatási_cím</vt:lpstr>
      <vt:lpstr>'K-Hulladék (25)'!Nyomtatási_cím</vt:lpstr>
      <vt:lpstr>'K-Közlekedő (18)'!Nyomtatási_cím</vt:lpstr>
      <vt:lpstr>'KKT GÜI (15)'!Nyomtatási_cím</vt:lpstr>
      <vt:lpstr>'K-Öltözők (21)'!Nyomtatási_cím</vt:lpstr>
      <vt:lpstr>'Közp. labor (11)'!Nyomtatási_cím</vt:lpstr>
      <vt:lpstr>'Közp. radiológia (6)'!Nyomtatási_cím</vt:lpstr>
      <vt:lpstr>'Közp. sterilizáló (8)'!Nyomtatási_cím</vt:lpstr>
      <vt:lpstr>'Központi műtők (16)'!Nyomtatási_cím</vt:lpstr>
      <vt:lpstr>'K-Raktár (19)'!Nyomtatási_cím</vt:lpstr>
      <vt:lpstr>'K-Takarítás (22)'!Nyomtatási_cím</vt:lpstr>
      <vt:lpstr>'K-Villamosság (23)'!Nyomtatási_cím</vt:lpstr>
      <vt:lpstr>'K-Vizesblokk (24)'!Nyomtatási_cím</vt:lpstr>
      <vt:lpstr>'Női klinika (17)'!Nyomtatási_cím</vt:lpstr>
      <vt:lpstr>'Ortopédia (7)'!Nyomtatási_cím</vt:lpstr>
      <vt:lpstr>'SBO (5)'!Nyomtatási_cím</vt:lpstr>
      <vt:lpstr>'Trauma intenzív (14)'!Nyomtatási_cím</vt:lpstr>
      <vt:lpstr>'Traumatológia (13)'!Nyomtatási_cím</vt:lpstr>
      <vt:lpstr>'Üvegfelületek külső homlokzaton'!Nyomtatási_cím</vt:lpstr>
      <vt:lpstr>'Vérdepo (12)'!Nyomtatási_cím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rojkovicsa</dc:creator>
  <cp:lastModifiedBy>verval</cp:lastModifiedBy>
  <cp:lastPrinted>2016-03-03T11:12:24Z</cp:lastPrinted>
  <dcterms:created xsi:type="dcterms:W3CDTF">2016-01-11T09:57:53Z</dcterms:created>
  <dcterms:modified xsi:type="dcterms:W3CDTF">2016-04-04T05:54:55Z</dcterms:modified>
</cp:coreProperties>
</file>